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E\Desktop\domes sēde 30.03.2023\"/>
    </mc:Choice>
  </mc:AlternateContent>
  <xr:revisionPtr revIDLastSave="0" documentId="8_{2D2E16B3-C8D3-459F-AA49-91713A826A9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2022" sheetId="1" r:id="rId1"/>
    <sheet name="atlidziba_2023" sheetId="4" r:id="rId2"/>
    <sheet name="202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0" i="3" l="1"/>
  <c r="S14" i="3"/>
  <c r="S10" i="3"/>
  <c r="Q10" i="3" s="1"/>
  <c r="S9" i="3"/>
  <c r="Q14" i="3" l="1"/>
  <c r="Q9" i="3"/>
  <c r="S7" i="3" l="1"/>
  <c r="S8" i="3"/>
  <c r="Q8" i="3" s="1"/>
  <c r="S12" i="3"/>
  <c r="Q12" i="3" s="1"/>
  <c r="S13" i="3"/>
  <c r="Q13" i="3" s="1"/>
  <c r="S15" i="3"/>
  <c r="Q15" i="3" s="1"/>
  <c r="S16" i="3"/>
  <c r="Q16" i="3" s="1"/>
  <c r="S17" i="3"/>
  <c r="Q17" i="3" s="1"/>
  <c r="S18" i="3"/>
  <c r="Q18" i="3" s="1"/>
  <c r="S20" i="3"/>
  <c r="Q20" i="3" s="1"/>
  <c r="S21" i="3"/>
  <c r="Q21" i="3" s="1"/>
  <c r="S22" i="3"/>
  <c r="Q22" i="3" s="1"/>
  <c r="S23" i="3"/>
  <c r="Q23" i="3" s="1"/>
  <c r="S24" i="3"/>
  <c r="Q24" i="3" s="1"/>
  <c r="S25" i="3"/>
  <c r="Q25" i="3" s="1"/>
  <c r="S26" i="3"/>
  <c r="Q26" i="3" s="1"/>
  <c r="S27" i="3"/>
  <c r="S28" i="3"/>
  <c r="Q28" i="3" s="1"/>
  <c r="S29" i="3"/>
  <c r="Q29" i="3" s="1"/>
  <c r="S30" i="3"/>
  <c r="Q30" i="3" s="1"/>
  <c r="S31" i="3"/>
  <c r="Q31" i="3" s="1"/>
  <c r="E15" i="4"/>
  <c r="E54" i="4"/>
  <c r="F54" i="4" s="1"/>
  <c r="G54" i="4" s="1"/>
  <c r="E52" i="4"/>
  <c r="F52" i="4" s="1"/>
  <c r="G52" i="4" s="1"/>
  <c r="E49" i="4"/>
  <c r="F49" i="4" s="1"/>
  <c r="G49" i="4" s="1"/>
  <c r="E47" i="4"/>
  <c r="F47" i="4" s="1"/>
  <c r="G47" i="4" s="1"/>
  <c r="E45" i="4"/>
  <c r="F45" i="4" s="1"/>
  <c r="G45" i="4" s="1"/>
  <c r="E43" i="4"/>
  <c r="F43" i="4" s="1"/>
  <c r="G43" i="4" s="1"/>
  <c r="E41" i="4"/>
  <c r="F41" i="4" s="1"/>
  <c r="G41" i="4" s="1"/>
  <c r="E38" i="4"/>
  <c r="F38" i="4" s="1"/>
  <c r="G38" i="4" s="1"/>
  <c r="E36" i="4"/>
  <c r="F36" i="4" s="1"/>
  <c r="G36" i="4" s="1"/>
  <c r="E34" i="4"/>
  <c r="F34" i="4" s="1"/>
  <c r="G34" i="4" s="1"/>
  <c r="E31" i="4"/>
  <c r="F31" i="4" s="1"/>
  <c r="G31" i="4" s="1"/>
  <c r="E29" i="4"/>
  <c r="F29" i="4" s="1"/>
  <c r="G29" i="4" s="1"/>
  <c r="E27" i="4"/>
  <c r="F27" i="4" s="1"/>
  <c r="G27" i="4" s="1"/>
  <c r="E25" i="4"/>
  <c r="F25" i="4" s="1"/>
  <c r="G25" i="4" s="1"/>
  <c r="E23" i="4"/>
  <c r="F23" i="4" s="1"/>
  <c r="G23" i="4" s="1"/>
  <c r="E21" i="4"/>
  <c r="F21" i="4" s="1"/>
  <c r="G21" i="4" s="1"/>
  <c r="E19" i="4"/>
  <c r="F19" i="4" s="1"/>
  <c r="G19" i="4" s="1"/>
  <c r="F15" i="4"/>
  <c r="G15" i="4" s="1"/>
  <c r="E13" i="4"/>
  <c r="F13" i="4" s="1"/>
  <c r="G13" i="4" s="1"/>
  <c r="E11" i="4"/>
  <c r="F11" i="4" s="1"/>
  <c r="G11" i="4" s="1"/>
  <c r="E9" i="4"/>
  <c r="F9" i="4" s="1"/>
  <c r="G9" i="4" s="1"/>
  <c r="E6" i="4"/>
  <c r="F6" i="4" s="1"/>
  <c r="G6" i="4" s="1"/>
  <c r="P32" i="3"/>
  <c r="O32" i="3"/>
  <c r="N32" i="3"/>
  <c r="M32" i="3"/>
  <c r="L32" i="3"/>
  <c r="H32" i="3"/>
  <c r="G32" i="3"/>
  <c r="F32" i="3"/>
  <c r="E32" i="3"/>
  <c r="D32" i="3"/>
  <c r="C32" i="3"/>
  <c r="B32" i="3"/>
  <c r="I31" i="3"/>
  <c r="J31" i="3" s="1"/>
  <c r="K31" i="3" s="1"/>
  <c r="R31" i="3" s="1"/>
  <c r="T31" i="3" s="1"/>
  <c r="U31" i="3" s="1"/>
  <c r="I30" i="3"/>
  <c r="J30" i="3" s="1"/>
  <c r="K30" i="3" s="1"/>
  <c r="R30" i="3" s="1"/>
  <c r="T30" i="3" s="1"/>
  <c r="V30" i="3" s="1"/>
  <c r="U30" i="3" s="1"/>
  <c r="I29" i="3"/>
  <c r="J29" i="3" s="1"/>
  <c r="K29" i="3" s="1"/>
  <c r="R29" i="3" s="1"/>
  <c r="I28" i="3"/>
  <c r="J28" i="3" s="1"/>
  <c r="K28" i="3" s="1"/>
  <c r="R28" i="3" s="1"/>
  <c r="T28" i="3" s="1"/>
  <c r="I27" i="3"/>
  <c r="J27" i="3" s="1"/>
  <c r="K27" i="3" s="1"/>
  <c r="R27" i="3" s="1"/>
  <c r="T27" i="3" s="1"/>
  <c r="I26" i="3"/>
  <c r="J26" i="3" s="1"/>
  <c r="K26" i="3" s="1"/>
  <c r="R26" i="3" s="1"/>
  <c r="T26" i="3" s="1"/>
  <c r="I25" i="3"/>
  <c r="J25" i="3" s="1"/>
  <c r="K25" i="3" s="1"/>
  <c r="R25" i="3" s="1"/>
  <c r="I24" i="3"/>
  <c r="J24" i="3" s="1"/>
  <c r="K24" i="3" s="1"/>
  <c r="R24" i="3" s="1"/>
  <c r="T24" i="3" s="1"/>
  <c r="I23" i="3"/>
  <c r="J23" i="3" s="1"/>
  <c r="K23" i="3" s="1"/>
  <c r="R23" i="3" s="1"/>
  <c r="T23" i="3" s="1"/>
  <c r="I22" i="3"/>
  <c r="J22" i="3" s="1"/>
  <c r="K22" i="3" s="1"/>
  <c r="R22" i="3" s="1"/>
  <c r="T22" i="3" s="1"/>
  <c r="I21" i="3"/>
  <c r="I20" i="3"/>
  <c r="J20" i="3" s="1"/>
  <c r="P19" i="3"/>
  <c r="O19" i="3"/>
  <c r="O33" i="3" s="1"/>
  <c r="N19" i="3"/>
  <c r="M19" i="3"/>
  <c r="L19" i="3"/>
  <c r="H19" i="3"/>
  <c r="G19" i="3"/>
  <c r="F19" i="3"/>
  <c r="E19" i="3"/>
  <c r="D19" i="3"/>
  <c r="C19" i="3"/>
  <c r="B19" i="3"/>
  <c r="I18" i="3"/>
  <c r="J18" i="3" s="1"/>
  <c r="K18" i="3" s="1"/>
  <c r="R18" i="3" s="1"/>
  <c r="I17" i="3"/>
  <c r="J17" i="3" s="1"/>
  <c r="K17" i="3" s="1"/>
  <c r="R17" i="3" s="1"/>
  <c r="T17" i="3" s="1"/>
  <c r="V17" i="3" s="1"/>
  <c r="U17" i="3" s="1"/>
  <c r="I16" i="3"/>
  <c r="J16" i="3" s="1"/>
  <c r="K16" i="3" s="1"/>
  <c r="R16" i="3" s="1"/>
  <c r="I15" i="3"/>
  <c r="J15" i="3" s="1"/>
  <c r="K15" i="3" s="1"/>
  <c r="R15" i="3" s="1"/>
  <c r="T15" i="3" s="1"/>
  <c r="V15" i="3" s="1"/>
  <c r="U15" i="3" s="1"/>
  <c r="I14" i="3"/>
  <c r="J14" i="3" s="1"/>
  <c r="K14" i="3" s="1"/>
  <c r="R14" i="3" s="1"/>
  <c r="T14" i="3" s="1"/>
  <c r="V14" i="3" s="1"/>
  <c r="U14" i="3" s="1"/>
  <c r="I13" i="3"/>
  <c r="J13" i="3" s="1"/>
  <c r="K13" i="3" s="1"/>
  <c r="R13" i="3" s="1"/>
  <c r="T13" i="3" s="1"/>
  <c r="V13" i="3" s="1"/>
  <c r="U13" i="3" s="1"/>
  <c r="I12" i="3"/>
  <c r="J12" i="3" s="1"/>
  <c r="K12" i="3" s="1"/>
  <c r="R12" i="3" s="1"/>
  <c r="T12" i="3" s="1"/>
  <c r="S11" i="3"/>
  <c r="Q11" i="3" s="1"/>
  <c r="I11" i="3"/>
  <c r="J11" i="3" s="1"/>
  <c r="K11" i="3" s="1"/>
  <c r="R11" i="3" s="1"/>
  <c r="T11" i="3" s="1"/>
  <c r="V11" i="3" s="1"/>
  <c r="U11" i="3" s="1"/>
  <c r="I10" i="3"/>
  <c r="J10" i="3" s="1"/>
  <c r="K10" i="3" s="1"/>
  <c r="R10" i="3" s="1"/>
  <c r="T10" i="3" s="1"/>
  <c r="V10" i="3" s="1"/>
  <c r="U10" i="3" s="1"/>
  <c r="I9" i="3"/>
  <c r="J9" i="3" s="1"/>
  <c r="K9" i="3" s="1"/>
  <c r="R9" i="3" s="1"/>
  <c r="T9" i="3" s="1"/>
  <c r="V9" i="3" s="1"/>
  <c r="U9" i="3" s="1"/>
  <c r="I8" i="3"/>
  <c r="J8" i="3" s="1"/>
  <c r="K8" i="3" s="1"/>
  <c r="R8" i="3" s="1"/>
  <c r="T8" i="3" s="1"/>
  <c r="J7" i="3"/>
  <c r="I7" i="3"/>
  <c r="V22" i="3" l="1"/>
  <c r="U22" i="3"/>
  <c r="V12" i="3"/>
  <c r="U12" i="3"/>
  <c r="U28" i="3" s="1"/>
  <c r="V8" i="3"/>
  <c r="U8" i="3"/>
  <c r="U27" i="3" s="1"/>
  <c r="T18" i="3"/>
  <c r="V18" i="3" s="1"/>
  <c r="U18" i="3" s="1"/>
  <c r="V24" i="3"/>
  <c r="U24" i="3"/>
  <c r="T25" i="3"/>
  <c r="T29" i="3"/>
  <c r="Q27" i="3"/>
  <c r="S32" i="3"/>
  <c r="Q32" i="3" s="1"/>
  <c r="V26" i="3"/>
  <c r="U26" i="3"/>
  <c r="T16" i="3"/>
  <c r="V16" i="3" s="1"/>
  <c r="U16" i="3" s="1"/>
  <c r="S19" i="3"/>
  <c r="Q7" i="3"/>
  <c r="P33" i="3"/>
  <c r="D33" i="3"/>
  <c r="H33" i="3"/>
  <c r="F33" i="3"/>
  <c r="N33" i="3"/>
  <c r="G33" i="3"/>
  <c r="I32" i="3"/>
  <c r="E33" i="3"/>
  <c r="M33" i="3"/>
  <c r="I19" i="3"/>
  <c r="J19" i="3"/>
  <c r="L33" i="3"/>
  <c r="K20" i="3"/>
  <c r="K7" i="3"/>
  <c r="J21" i="3"/>
  <c r="K21" i="3" s="1"/>
  <c r="R21" i="3" s="1"/>
  <c r="T21" i="3" s="1"/>
  <c r="S33" i="3" l="1"/>
  <c r="Q19" i="3"/>
  <c r="V29" i="3"/>
  <c r="U29" i="3"/>
  <c r="V25" i="3"/>
  <c r="U25" i="3"/>
  <c r="J32" i="3"/>
  <c r="J33" i="3" s="1"/>
  <c r="I33" i="3"/>
  <c r="K19" i="3"/>
  <c r="R7" i="3"/>
  <c r="T7" i="3" s="1"/>
  <c r="V7" i="3" s="1"/>
  <c r="U7" i="3" s="1"/>
  <c r="K32" i="3"/>
  <c r="R20" i="3"/>
  <c r="Q12" i="1"/>
  <c r="R32" i="3" l="1"/>
  <c r="T32" i="3" s="1"/>
  <c r="T20" i="3"/>
  <c r="R19" i="3"/>
  <c r="T19" i="3" s="1"/>
  <c r="K33" i="3"/>
  <c r="P32" i="1"/>
  <c r="O32" i="1"/>
  <c r="N32" i="1"/>
  <c r="M32" i="1"/>
  <c r="L32" i="1"/>
  <c r="H32" i="1"/>
  <c r="G32" i="1"/>
  <c r="F32" i="1"/>
  <c r="E32" i="1"/>
  <c r="D32" i="1"/>
  <c r="C32" i="1"/>
  <c r="B32" i="1"/>
  <c r="S31" i="1"/>
  <c r="Q31" i="1" s="1"/>
  <c r="I31" i="1"/>
  <c r="J31" i="1" s="1"/>
  <c r="K31" i="1" s="1"/>
  <c r="R31" i="1" s="1"/>
  <c r="T31" i="1" s="1"/>
  <c r="S30" i="1"/>
  <c r="Q30" i="1" s="1"/>
  <c r="I30" i="1"/>
  <c r="J30" i="1" s="1"/>
  <c r="K30" i="1" s="1"/>
  <c r="R30" i="1" s="1"/>
  <c r="S29" i="1"/>
  <c r="Q29" i="1" s="1"/>
  <c r="I29" i="1"/>
  <c r="J29" i="1" s="1"/>
  <c r="K29" i="1" s="1"/>
  <c r="R29" i="1" s="1"/>
  <c r="T29" i="1" s="1"/>
  <c r="S28" i="1"/>
  <c r="Q28" i="1" s="1"/>
  <c r="I28" i="1"/>
  <c r="J28" i="1" s="1"/>
  <c r="K28" i="1" s="1"/>
  <c r="R28" i="1" s="1"/>
  <c r="S27" i="1"/>
  <c r="Q27" i="1" s="1"/>
  <c r="I27" i="1"/>
  <c r="J27" i="1" s="1"/>
  <c r="K27" i="1" s="1"/>
  <c r="R27" i="1" s="1"/>
  <c r="S26" i="1"/>
  <c r="Q26" i="1" s="1"/>
  <c r="I26" i="1"/>
  <c r="J26" i="1" s="1"/>
  <c r="K26" i="1" s="1"/>
  <c r="R26" i="1" s="1"/>
  <c r="S25" i="1"/>
  <c r="Q25" i="1" s="1"/>
  <c r="I25" i="1"/>
  <c r="J25" i="1" s="1"/>
  <c r="K25" i="1" s="1"/>
  <c r="R25" i="1" s="1"/>
  <c r="S24" i="1"/>
  <c r="Q24" i="1" s="1"/>
  <c r="I24" i="1"/>
  <c r="J24" i="1" s="1"/>
  <c r="K24" i="1" s="1"/>
  <c r="R24" i="1" s="1"/>
  <c r="S23" i="1"/>
  <c r="Q23" i="1" s="1"/>
  <c r="I23" i="1"/>
  <c r="J23" i="1" s="1"/>
  <c r="K23" i="1" s="1"/>
  <c r="R23" i="1" s="1"/>
  <c r="S22" i="1"/>
  <c r="Q22" i="1" s="1"/>
  <c r="I22" i="1"/>
  <c r="J22" i="1" s="1"/>
  <c r="K22" i="1" s="1"/>
  <c r="R22" i="1" s="1"/>
  <c r="S21" i="1"/>
  <c r="Q21" i="1" s="1"/>
  <c r="I21" i="1"/>
  <c r="J21" i="1" s="1"/>
  <c r="K21" i="1" s="1"/>
  <c r="R21" i="1" s="1"/>
  <c r="T21" i="1" s="1"/>
  <c r="S20" i="1"/>
  <c r="Q20" i="1" s="1"/>
  <c r="I20" i="1"/>
  <c r="P19" i="1"/>
  <c r="P33" i="1" s="1"/>
  <c r="O19" i="1"/>
  <c r="O33" i="1" s="1"/>
  <c r="N19" i="1"/>
  <c r="M19" i="1"/>
  <c r="M33" i="1" s="1"/>
  <c r="L19" i="1"/>
  <c r="L33" i="1" s="1"/>
  <c r="H19" i="1"/>
  <c r="G19" i="1"/>
  <c r="G33" i="1" s="1"/>
  <c r="F19" i="1"/>
  <c r="F33" i="1" s="1"/>
  <c r="E19" i="1"/>
  <c r="D19" i="1"/>
  <c r="D33" i="1" s="1"/>
  <c r="C19" i="1"/>
  <c r="B19" i="1"/>
  <c r="S18" i="1"/>
  <c r="Q18" i="1" s="1"/>
  <c r="I18" i="1"/>
  <c r="J18" i="1" s="1"/>
  <c r="K18" i="1" s="1"/>
  <c r="R18" i="1" s="1"/>
  <c r="T18" i="1" s="1"/>
  <c r="S17" i="1"/>
  <c r="Q17" i="1" s="1"/>
  <c r="I17" i="1"/>
  <c r="J17" i="1" s="1"/>
  <c r="K17" i="1" s="1"/>
  <c r="R17" i="1" s="1"/>
  <c r="T17" i="1" s="1"/>
  <c r="S16" i="1"/>
  <c r="Q16" i="1" s="1"/>
  <c r="I16" i="1"/>
  <c r="J16" i="1" s="1"/>
  <c r="K16" i="1" s="1"/>
  <c r="R16" i="1" s="1"/>
  <c r="S15" i="1"/>
  <c r="Q15" i="1" s="1"/>
  <c r="I15" i="1"/>
  <c r="J15" i="1" s="1"/>
  <c r="K15" i="1" s="1"/>
  <c r="R15" i="1" s="1"/>
  <c r="T15" i="1" s="1"/>
  <c r="S14" i="1"/>
  <c r="Q14" i="1" s="1"/>
  <c r="I14" i="1"/>
  <c r="J14" i="1" s="1"/>
  <c r="K14" i="1" s="1"/>
  <c r="R14" i="1" s="1"/>
  <c r="T14" i="1" s="1"/>
  <c r="S13" i="1"/>
  <c r="Q13" i="1" s="1"/>
  <c r="I13" i="1"/>
  <c r="J13" i="1" s="1"/>
  <c r="K13" i="1" s="1"/>
  <c r="R13" i="1" s="1"/>
  <c r="I12" i="1"/>
  <c r="J12" i="1" s="1"/>
  <c r="K12" i="1" s="1"/>
  <c r="R12" i="1" s="1"/>
  <c r="T12" i="1" s="1"/>
  <c r="S11" i="1"/>
  <c r="Q11" i="1" s="1"/>
  <c r="I11" i="1"/>
  <c r="J11" i="1" s="1"/>
  <c r="K11" i="1" s="1"/>
  <c r="R11" i="1" s="1"/>
  <c r="S10" i="1"/>
  <c r="Q10" i="1" s="1"/>
  <c r="I10" i="1"/>
  <c r="J10" i="1" s="1"/>
  <c r="K10" i="1" s="1"/>
  <c r="R10" i="1" s="1"/>
  <c r="T10" i="1" s="1"/>
  <c r="S9" i="1"/>
  <c r="Q9" i="1" s="1"/>
  <c r="I9" i="1"/>
  <c r="J9" i="1" s="1"/>
  <c r="K9" i="1" s="1"/>
  <c r="R9" i="1" s="1"/>
  <c r="T9" i="1" s="1"/>
  <c r="S8" i="1"/>
  <c r="Q8" i="1" s="1"/>
  <c r="I8" i="1"/>
  <c r="J8" i="1" s="1"/>
  <c r="K8" i="1" s="1"/>
  <c r="R8" i="1" s="1"/>
  <c r="S7" i="1"/>
  <c r="Q7" i="1" s="1"/>
  <c r="I7" i="1"/>
  <c r="T13" i="1" l="1"/>
  <c r="T16" i="1"/>
  <c r="H33" i="1"/>
  <c r="T27" i="1"/>
  <c r="T8" i="1"/>
  <c r="T11" i="1"/>
  <c r="E33" i="1"/>
  <c r="N33" i="1"/>
  <c r="T30" i="1"/>
  <c r="R33" i="3"/>
  <c r="I32" i="1"/>
  <c r="T23" i="1"/>
  <c r="T26" i="1"/>
  <c r="I19" i="1"/>
  <c r="T22" i="1"/>
  <c r="S32" i="1"/>
  <c r="Q32" i="1" s="1"/>
  <c r="T25" i="1"/>
  <c r="T28" i="1"/>
  <c r="T24" i="1"/>
  <c r="S19" i="1"/>
  <c r="Q19" i="1" s="1"/>
  <c r="J20" i="1"/>
  <c r="J7" i="1"/>
  <c r="I33" i="1" l="1"/>
  <c r="K20" i="1"/>
  <c r="J32" i="1"/>
  <c r="J19" i="1"/>
  <c r="J33" i="1" s="1"/>
  <c r="K7" i="1"/>
  <c r="K32" i="1" l="1"/>
  <c r="R20" i="1"/>
  <c r="K19" i="1"/>
  <c r="K33" i="1" s="1"/>
  <c r="R7" i="1"/>
  <c r="R19" i="1" l="1"/>
  <c r="T7" i="1"/>
  <c r="T20" i="1"/>
  <c r="R32" i="1"/>
  <c r="V32" i="1" s="1"/>
  <c r="T19" i="1" l="1"/>
  <c r="T33" i="1" s="1"/>
  <c r="U34" i="1" s="1"/>
  <c r="R33" i="1"/>
</calcChain>
</file>

<file path=xl/sharedStrings.xml><?xml version="1.0" encoding="utf-8"?>
<sst xmlns="http://schemas.openxmlformats.org/spreadsheetml/2006/main" count="222" uniqueCount="120">
  <si>
    <t>2022. gads  ēdināšanas izmaksu maksas pakalpojumu kalkulācija, saskaņā ar plānotajiem izdevumiem</t>
  </si>
  <si>
    <t xml:space="preserve">Komunālo pakalpojumu  plānotās izmaksas 2022.gadā </t>
  </si>
  <si>
    <t>Materiālu izmaksas</t>
  </si>
  <si>
    <t>1.vidusskola</t>
  </si>
  <si>
    <t>448-basein</t>
  </si>
  <si>
    <t>~20%</t>
  </si>
  <si>
    <t>Mācību iestāde</t>
  </si>
  <si>
    <t>kopējā platība</t>
  </si>
  <si>
    <t>virtuves platība</t>
  </si>
  <si>
    <t>apkure EKK2221</t>
  </si>
  <si>
    <t>ūdens kanalizācija EKK 2222</t>
  </si>
  <si>
    <t>elektrība EKK2223</t>
  </si>
  <si>
    <t>atkritumu izvešana EKK 2224</t>
  </si>
  <si>
    <t>malka apkurei EKK 2321</t>
  </si>
  <si>
    <t>energo resursu izmaksas kopā</t>
  </si>
  <si>
    <t xml:space="preserve">uz visu platību </t>
  </si>
  <si>
    <t xml:space="preserve">virtuvei </t>
  </si>
  <si>
    <t>Darba alga virt.</t>
  </si>
  <si>
    <t>virtuves trauki EKK 2362</t>
  </si>
  <si>
    <t xml:space="preserve"> produkti EKK 2363</t>
  </si>
  <si>
    <t>PL 2022. gada iegādes</t>
  </si>
  <si>
    <t>PL nolietojums ekspluatācijā  esošajiem PL</t>
  </si>
  <si>
    <t>Produkti</t>
  </si>
  <si>
    <t>Kopā izmaksas gadā</t>
  </si>
  <si>
    <t>2021.sept.skolēni+ pedagogi</t>
  </si>
  <si>
    <t>Izmaksas dienā uz 1 cilv.</t>
  </si>
  <si>
    <t>PII Valodiņa</t>
  </si>
  <si>
    <t>PII Spodrītis</t>
  </si>
  <si>
    <t>PII Zvaniņš</t>
  </si>
  <si>
    <t>PII Jāņtārpiņš</t>
  </si>
  <si>
    <t>PII Auriņš</t>
  </si>
  <si>
    <t>PII Minkuparks</t>
  </si>
  <si>
    <t>PII Riekstiņš</t>
  </si>
  <si>
    <t>PII Ābolītis</t>
  </si>
  <si>
    <t>PII Vecauce</t>
  </si>
  <si>
    <t>PII Pīlādzītis</t>
  </si>
  <si>
    <t>PII Rūķīši</t>
  </si>
  <si>
    <t>PG Sprīdīši</t>
  </si>
  <si>
    <t>PII</t>
  </si>
  <si>
    <t>Auces vidusskola</t>
  </si>
  <si>
    <t>Bēnes pamatskola</t>
  </si>
  <si>
    <t>Augstkalnes pamatskola</t>
  </si>
  <si>
    <t>A.Brigaderes pamatskola</t>
  </si>
  <si>
    <t>Lejasstrazdu sākumskola</t>
  </si>
  <si>
    <t>Bikstu pamatskola</t>
  </si>
  <si>
    <t>Gardenes pamatskola</t>
  </si>
  <si>
    <t>Dobeles sākumskola</t>
  </si>
  <si>
    <t>Mežinieku pamatskola</t>
  </si>
  <si>
    <t>Penkules pamatskola</t>
  </si>
  <si>
    <t>Bērzupes spec.pamatskola</t>
  </si>
  <si>
    <t>DAVV</t>
  </si>
  <si>
    <t>Skolas</t>
  </si>
  <si>
    <t>PII ņemtas 11 mēnešu vidējas darba dienas 231</t>
  </si>
  <si>
    <t>Skolās 9 mēnešu darba dienas 169</t>
  </si>
  <si>
    <t xml:space="preserve">Sagatavoja </t>
  </si>
  <si>
    <t>I.Abramoviča</t>
  </si>
  <si>
    <t>10.11.2020.</t>
  </si>
  <si>
    <t>Vidēji,  bez Mežiniekiem, Sākumskolas un DAVV</t>
  </si>
  <si>
    <t>Vidēji</t>
  </si>
  <si>
    <t>2023.gada ēdināšanas izmaksu maksas pakalpojumu kalkulācija, saskaņā ar plānotajiem izdevumiem</t>
  </si>
  <si>
    <t xml:space="preserve">Komunālo pakalpojumu  plānotās izmaksas 2023.gadā </t>
  </si>
  <si>
    <t>Tiešās izmaksas- darbinieku algas pēc štatu saraksta</t>
  </si>
  <si>
    <t>iestāde</t>
  </si>
  <si>
    <t>amats</t>
  </si>
  <si>
    <t>likme</t>
  </si>
  <si>
    <t>summa mēnesī</t>
  </si>
  <si>
    <t>iestādē mēnesī</t>
  </si>
  <si>
    <t>alga gadā</t>
  </si>
  <si>
    <t>atlīdzība ar VSAOI</t>
  </si>
  <si>
    <t>P.I.I. Spodrītis</t>
  </si>
  <si>
    <t>šefpavārs</t>
  </si>
  <si>
    <t>pavārs</t>
  </si>
  <si>
    <t>P.I.I. Zvaniņš</t>
  </si>
  <si>
    <t>P.I.I. Valodiņa</t>
  </si>
  <si>
    <t>P.I.I. Jāņtārpiņš</t>
  </si>
  <si>
    <t>P.I.I. Minkuparks</t>
  </si>
  <si>
    <t>P.I.I. Auriņš</t>
  </si>
  <si>
    <t>P.I.I. Riekstiņš</t>
  </si>
  <si>
    <t xml:space="preserve">PII " Ābolītis" </t>
  </si>
  <si>
    <t>virtuves darbin.</t>
  </si>
  <si>
    <t>PII  "Pīlādzītis"</t>
  </si>
  <si>
    <t>PII "Rūķīši"</t>
  </si>
  <si>
    <t>PII "Vecauce"</t>
  </si>
  <si>
    <t>A.Brigaderes psk.</t>
  </si>
  <si>
    <t>PG "Sprīdītis"</t>
  </si>
  <si>
    <t>Augstkalnes psk.</t>
  </si>
  <si>
    <t>Bikstu pamatsk.</t>
  </si>
  <si>
    <t>Penkules pamatsk.</t>
  </si>
  <si>
    <t>Lejasstrazdu pamatsk.</t>
  </si>
  <si>
    <t>Gardenes pamatsk.</t>
  </si>
  <si>
    <t>Bērzupes spec.intern.</t>
  </si>
  <si>
    <t>Kasieris-pārdev.</t>
  </si>
  <si>
    <t>uz 01.01.2023.</t>
  </si>
  <si>
    <t>Mežinieki</t>
  </si>
  <si>
    <t>2023.janv.skolēni+ pedagogi</t>
  </si>
  <si>
    <t>PII ņemtas 11 mēnešu vidējas darba dienas 233</t>
  </si>
  <si>
    <t>Skolās 9 mēnešu darba dienas 171</t>
  </si>
  <si>
    <t>PL 2023. gada iegādes</t>
  </si>
  <si>
    <t>10.02.2023.</t>
  </si>
  <si>
    <t>Brokastis/launags</t>
  </si>
  <si>
    <t>0.82/0.82</t>
  </si>
  <si>
    <t>0.59/0.59</t>
  </si>
  <si>
    <t>0.97/0.97</t>
  </si>
  <si>
    <t>0.87/0.87</t>
  </si>
  <si>
    <t>0.76/0.76</t>
  </si>
  <si>
    <t>Vakariņas</t>
  </si>
  <si>
    <t>0.95/0.95</t>
  </si>
  <si>
    <t>ja ēd ~ 75 %</t>
  </si>
  <si>
    <t>1.19/1.19</t>
  </si>
  <si>
    <t>0.70/0.70</t>
  </si>
  <si>
    <t>0.88/0.88</t>
  </si>
  <si>
    <t>1.09/1.09</t>
  </si>
  <si>
    <t>0.90/0.90</t>
  </si>
  <si>
    <t>1.01/1.01</t>
  </si>
  <si>
    <t>0.78/0.78</t>
  </si>
  <si>
    <t>0.63/0.63</t>
  </si>
  <si>
    <t>1.18/1.18</t>
  </si>
  <si>
    <t>pusdienas skoln., darbin.</t>
  </si>
  <si>
    <t>pusdienas PII audz.</t>
  </si>
  <si>
    <t>Pusdienas skolniekiem un darbiniekiem + 70 % no pirmsskolas audzēkņu pusdienām!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</si>
</sst>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00B050"/>
      <name val="Calibri"/>
      <family val="2"/>
      <charset val="186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87">
    <xf numFmtId="0" fontId="0" fillId="0" borderId="0" xfId="0"/>
    <xf numFmtId="0" fontId="2" fillId="0" borderId="0" xfId="0" applyFont="1"/>
    <xf numFmtId="9" fontId="3" fillId="2" borderId="0" xfId="0" applyNumberFormat="1" applyFont="1" applyFill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/>
    <xf numFmtId="0" fontId="0" fillId="3" borderId="1" xfId="0" applyFill="1" applyBorder="1"/>
    <xf numFmtId="0" fontId="0" fillId="0" borderId="1" xfId="0" applyBorder="1"/>
    <xf numFmtId="2" fontId="0" fillId="0" borderId="1" xfId="0" applyNumberFormat="1" applyBorder="1"/>
    <xf numFmtId="2" fontId="4" fillId="0" borderId="1" xfId="0" applyNumberFormat="1" applyFont="1" applyBorder="1"/>
    <xf numFmtId="2" fontId="5" fillId="0" borderId="1" xfId="0" applyNumberFormat="1" applyFont="1" applyBorder="1"/>
    <xf numFmtId="0" fontId="3" fillId="0" borderId="0" xfId="0" applyFont="1"/>
    <xf numFmtId="0" fontId="3" fillId="0" borderId="1" xfId="0" applyFont="1" applyBorder="1"/>
    <xf numFmtId="2" fontId="0" fillId="2" borderId="1" xfId="0" applyNumberFormat="1" applyFill="1" applyBorder="1"/>
    <xf numFmtId="0" fontId="5" fillId="3" borderId="1" xfId="0" applyFont="1" applyFill="1" applyBorder="1"/>
    <xf numFmtId="0" fontId="6" fillId="0" borderId="1" xfId="0" applyFont="1" applyBorder="1"/>
    <xf numFmtId="0" fontId="2" fillId="0" borderId="1" xfId="0" applyFont="1" applyBorder="1"/>
    <xf numFmtId="2" fontId="7" fillId="0" borderId="1" xfId="0" applyNumberFormat="1" applyFont="1" applyBorder="1"/>
    <xf numFmtId="0" fontId="7" fillId="0" borderId="1" xfId="0" applyFont="1" applyBorder="1"/>
    <xf numFmtId="0" fontId="4" fillId="0" borderId="0" xfId="0" applyFont="1"/>
    <xf numFmtId="2" fontId="8" fillId="0" borderId="0" xfId="0" applyNumberFormat="1" applyFont="1"/>
    <xf numFmtId="0" fontId="9" fillId="0" borderId="1" xfId="0" applyFont="1" applyBorder="1"/>
    <xf numFmtId="0" fontId="1" fillId="0" borderId="1" xfId="0" applyFont="1" applyBorder="1"/>
    <xf numFmtId="0" fontId="0" fillId="2" borderId="1" xfId="0" applyFill="1" applyBorder="1"/>
    <xf numFmtId="0" fontId="1" fillId="0" borderId="0" xfId="0" applyFont="1"/>
    <xf numFmtId="0" fontId="5" fillId="0" borderId="2" xfId="0" applyFont="1" applyBorder="1"/>
    <xf numFmtId="0" fontId="0" fillId="0" borderId="3" xfId="0" applyBorder="1"/>
    <xf numFmtId="0" fontId="3" fillId="0" borderId="3" xfId="0" applyFont="1" applyBorder="1"/>
    <xf numFmtId="2" fontId="3" fillId="0" borderId="1" xfId="0" applyNumberFormat="1" applyFont="1" applyBorder="1"/>
    <xf numFmtId="2" fontId="3" fillId="2" borderId="1" xfId="0" applyNumberFormat="1" applyFont="1" applyFill="1" applyBorder="1"/>
    <xf numFmtId="0" fontId="3" fillId="2" borderId="0" xfId="0" applyFont="1" applyFill="1"/>
    <xf numFmtId="0" fontId="7" fillId="0" borderId="2" xfId="0" applyFont="1" applyBorder="1"/>
    <xf numFmtId="2" fontId="2" fillId="0" borderId="0" xfId="0" applyNumberFormat="1" applyFont="1"/>
    <xf numFmtId="1" fontId="2" fillId="0" borderId="0" xfId="0" applyNumberFormat="1" applyFont="1"/>
    <xf numFmtId="2" fontId="0" fillId="0" borderId="0" xfId="0" applyNumberFormat="1"/>
    <xf numFmtId="2" fontId="8" fillId="4" borderId="0" xfId="0" applyNumberFormat="1" applyFont="1" applyFill="1"/>
    <xf numFmtId="0" fontId="11" fillId="0" borderId="0" xfId="1" applyFont="1"/>
    <xf numFmtId="0" fontId="10" fillId="0" borderId="0" xfId="1"/>
    <xf numFmtId="0" fontId="12" fillId="0" borderId="5" xfId="1" applyFont="1" applyBorder="1" applyAlignment="1">
      <alignment vertical="center" wrapText="1"/>
    </xf>
    <xf numFmtId="0" fontId="12" fillId="0" borderId="6" xfId="1" applyFont="1" applyBorder="1" applyAlignment="1">
      <alignment vertical="center" wrapText="1"/>
    </xf>
    <xf numFmtId="0" fontId="11" fillId="0" borderId="3" xfId="1" applyFont="1" applyBorder="1"/>
    <xf numFmtId="0" fontId="13" fillId="0" borderId="3" xfId="1" applyFont="1" applyBorder="1"/>
    <xf numFmtId="0" fontId="12" fillId="0" borderId="8" xfId="1" applyFont="1" applyBorder="1" applyAlignment="1">
      <alignment vertical="center" wrapText="1"/>
    </xf>
    <xf numFmtId="0" fontId="12" fillId="0" borderId="9" xfId="1" applyFont="1" applyBorder="1" applyAlignment="1">
      <alignment vertical="center" wrapText="1"/>
    </xf>
    <xf numFmtId="0" fontId="11" fillId="0" borderId="10" xfId="1" applyFont="1" applyBorder="1" applyAlignment="1">
      <alignment wrapText="1"/>
    </xf>
    <xf numFmtId="0" fontId="14" fillId="0" borderId="10" xfId="1" applyFont="1" applyBorder="1" applyAlignment="1">
      <alignment wrapText="1"/>
    </xf>
    <xf numFmtId="0" fontId="10" fillId="0" borderId="0" xfId="1" applyAlignment="1">
      <alignment wrapText="1"/>
    </xf>
    <xf numFmtId="0" fontId="15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6" fillId="0" borderId="3" xfId="1" applyFont="1" applyBorder="1" applyAlignment="1">
      <alignment vertical="center" wrapText="1"/>
    </xf>
    <xf numFmtId="0" fontId="16" fillId="0" borderId="2" xfId="1" applyFont="1" applyBorder="1" applyAlignment="1">
      <alignment vertical="center" wrapText="1"/>
    </xf>
    <xf numFmtId="0" fontId="11" fillId="0" borderId="2" xfId="1" applyFont="1" applyBorder="1"/>
    <xf numFmtId="0" fontId="13" fillId="0" borderId="2" xfId="1" applyFont="1" applyBorder="1"/>
    <xf numFmtId="0" fontId="12" fillId="0" borderId="7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10" xfId="1" applyFont="1" applyBorder="1"/>
    <xf numFmtId="0" fontId="13" fillId="0" borderId="10" xfId="1" applyFont="1" applyBorder="1"/>
    <xf numFmtId="0" fontId="11" fillId="0" borderId="2" xfId="1" applyFont="1" applyBorder="1" applyAlignment="1">
      <alignment vertical="center" wrapText="1"/>
    </xf>
    <xf numFmtId="0" fontId="12" fillId="0" borderId="12" xfId="1" applyFont="1" applyBorder="1" applyAlignment="1">
      <alignment vertical="center" wrapText="1"/>
    </xf>
    <xf numFmtId="0" fontId="11" fillId="0" borderId="13" xfId="1" applyFont="1" applyBorder="1" applyAlignment="1">
      <alignment vertical="center" wrapText="1"/>
    </xf>
    <xf numFmtId="0" fontId="11" fillId="0" borderId="14" xfId="1" applyFont="1" applyBorder="1" applyAlignment="1">
      <alignment vertical="center" wrapText="1"/>
    </xf>
    <xf numFmtId="0" fontId="11" fillId="0" borderId="15" xfId="1" applyFont="1" applyBorder="1" applyAlignment="1">
      <alignment vertical="center" wrapText="1"/>
    </xf>
    <xf numFmtId="0" fontId="15" fillId="0" borderId="16" xfId="1" applyFont="1" applyBorder="1" applyAlignment="1">
      <alignment vertical="center" wrapText="1"/>
    </xf>
    <xf numFmtId="0" fontId="16" fillId="0" borderId="10" xfId="1" applyFont="1" applyBorder="1" applyAlignment="1">
      <alignment vertical="center" wrapText="1"/>
    </xf>
    <xf numFmtId="0" fontId="12" fillId="0" borderId="10" xfId="1" applyFont="1" applyBorder="1"/>
    <xf numFmtId="0" fontId="17" fillId="0" borderId="0" xfId="1" applyFont="1"/>
    <xf numFmtId="0" fontId="16" fillId="2" borderId="3" xfId="1" applyFont="1" applyFill="1" applyBorder="1" applyAlignment="1">
      <alignment vertical="center" wrapText="1"/>
    </xf>
    <xf numFmtId="0" fontId="9" fillId="2" borderId="1" xfId="0" applyFont="1" applyFill="1" applyBorder="1"/>
    <xf numFmtId="0" fontId="19" fillId="0" borderId="1" xfId="0" applyFont="1" applyBorder="1"/>
    <xf numFmtId="2" fontId="19" fillId="0" borderId="1" xfId="0" applyNumberFormat="1" applyFont="1" applyBorder="1"/>
    <xf numFmtId="0" fontId="18" fillId="0" borderId="1" xfId="0" applyFont="1" applyBorder="1"/>
    <xf numFmtId="0" fontId="18" fillId="2" borderId="1" xfId="0" applyFont="1" applyFill="1" applyBorder="1"/>
    <xf numFmtId="0" fontId="19" fillId="3" borderId="1" xfId="0" applyFont="1" applyFill="1" applyBorder="1"/>
    <xf numFmtId="0" fontId="9" fillId="0" borderId="0" xfId="0" applyFont="1"/>
    <xf numFmtId="2" fontId="9" fillId="0" borderId="1" xfId="0" applyNumberFormat="1" applyFont="1" applyBorder="1"/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2" fontId="2" fillId="0" borderId="1" xfId="0" applyNumberFormat="1" applyFont="1" applyBorder="1"/>
    <xf numFmtId="2" fontId="20" fillId="0" borderId="1" xfId="0" applyNumberFormat="1" applyFont="1" applyBorder="1"/>
    <xf numFmtId="2" fontId="0" fillId="3" borderId="1" xfId="0" applyNumberFormat="1" applyFill="1" applyBorder="1"/>
    <xf numFmtId="2" fontId="7" fillId="3" borderId="1" xfId="0" applyNumberFormat="1" applyFont="1" applyFill="1" applyBorder="1"/>
    <xf numFmtId="2" fontId="8" fillId="3" borderId="0" xfId="0" applyNumberFormat="1" applyFont="1" applyFill="1"/>
    <xf numFmtId="0" fontId="12" fillId="0" borderId="4" xfId="1" applyFont="1" applyBorder="1" applyAlignment="1">
      <alignment vertical="center" wrapText="1"/>
    </xf>
    <xf numFmtId="0" fontId="12" fillId="0" borderId="7" xfId="1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37"/>
  <sheetViews>
    <sheetView workbookViewId="0">
      <selection activeCell="Q14" sqref="Q14"/>
    </sheetView>
  </sheetViews>
  <sheetFormatPr defaultRowHeight="15" x14ac:dyDescent="0.25"/>
  <cols>
    <col min="1" max="1" width="26.42578125" customWidth="1"/>
    <col min="2" max="2" width="8.28515625" customWidth="1"/>
    <col min="3" max="3" width="8.85546875" customWidth="1"/>
    <col min="4" max="4" width="9.5703125" bestFit="1" customWidth="1"/>
    <col min="5" max="5" width="11.140625" customWidth="1"/>
    <col min="6" max="6" width="9.5703125" bestFit="1" customWidth="1"/>
    <col min="7" max="7" width="9.85546875" customWidth="1"/>
    <col min="8" max="8" width="8.7109375" bestFit="1" customWidth="1"/>
    <col min="9" max="9" width="9.5703125" bestFit="1" customWidth="1"/>
    <col min="12" max="12" width="9.5703125" bestFit="1" customWidth="1"/>
    <col min="14" max="14" width="9.5703125" bestFit="1" customWidth="1"/>
    <col min="15" max="15" width="8.5703125" bestFit="1" customWidth="1"/>
    <col min="16" max="16" width="14.42578125" customWidth="1"/>
    <col min="17" max="17" width="8.5703125" bestFit="1" customWidth="1"/>
    <col min="18" max="18" width="10.5703125" bestFit="1" customWidth="1"/>
    <col min="19" max="19" width="10.28515625" customWidth="1"/>
    <col min="22" max="22" width="9.5703125" bestFit="1" customWidth="1"/>
  </cols>
  <sheetData>
    <row r="2" spans="1:21" x14ac:dyDescent="0.25">
      <c r="C2" s="1" t="s">
        <v>0</v>
      </c>
    </row>
    <row r="4" spans="1:21" x14ac:dyDescent="0.25">
      <c r="B4" s="1" t="s">
        <v>1</v>
      </c>
      <c r="M4" s="1" t="s">
        <v>2</v>
      </c>
    </row>
    <row r="5" spans="1:21" x14ac:dyDescent="0.25">
      <c r="A5" t="s">
        <v>3</v>
      </c>
      <c r="B5">
        <v>6444.67</v>
      </c>
      <c r="C5" t="s">
        <v>4</v>
      </c>
      <c r="Q5" s="2" t="s">
        <v>5</v>
      </c>
    </row>
    <row r="6" spans="1:21" s="6" customFormat="1" ht="60" x14ac:dyDescent="0.25">
      <c r="A6" s="3" t="s">
        <v>6</v>
      </c>
      <c r="B6" s="3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3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4" t="s">
        <v>18</v>
      </c>
      <c r="N6" s="4" t="s">
        <v>19</v>
      </c>
      <c r="O6" s="4" t="s">
        <v>20</v>
      </c>
      <c r="P6" s="4" t="s">
        <v>21</v>
      </c>
      <c r="Q6" s="4" t="s">
        <v>22</v>
      </c>
      <c r="R6" s="5" t="s">
        <v>23</v>
      </c>
      <c r="S6" s="3" t="s">
        <v>24</v>
      </c>
      <c r="T6" s="3" t="s">
        <v>25</v>
      </c>
    </row>
    <row r="7" spans="1:21" x14ac:dyDescent="0.25">
      <c r="A7" s="7" t="s">
        <v>26</v>
      </c>
      <c r="B7" s="8">
        <v>681</v>
      </c>
      <c r="C7" s="8">
        <v>29</v>
      </c>
      <c r="D7" s="9">
        <v>7200</v>
      </c>
      <c r="E7" s="9">
        <v>3000</v>
      </c>
      <c r="F7" s="9">
        <v>5300</v>
      </c>
      <c r="G7" s="9">
        <v>800</v>
      </c>
      <c r="H7" s="9"/>
      <c r="I7" s="9">
        <f>SUM(D7:H7)</f>
        <v>16300</v>
      </c>
      <c r="J7" s="10">
        <f>SUM(I7/B7)</f>
        <v>23.935389133627019</v>
      </c>
      <c r="K7" s="11">
        <f>SUM(C7*J7)</f>
        <v>694.12628487518361</v>
      </c>
      <c r="L7" s="9">
        <v>25998</v>
      </c>
      <c r="M7" s="9">
        <v>357</v>
      </c>
      <c r="N7" s="9">
        <v>17215</v>
      </c>
      <c r="O7" s="9"/>
      <c r="P7" s="7">
        <v>317.06</v>
      </c>
      <c r="Q7" s="12">
        <f>SUM(N7/231/S7)/0.65</f>
        <v>1.3178392488737314</v>
      </c>
      <c r="R7" s="11">
        <f>SUM(K7:P7)</f>
        <v>44581.186284875177</v>
      </c>
      <c r="S7" s="7">
        <f>77+10</f>
        <v>87</v>
      </c>
      <c r="T7" s="12">
        <f>SUM(R7/231/S7)/0.65</f>
        <v>3.4127700869915656</v>
      </c>
      <c r="U7" s="13"/>
    </row>
    <row r="8" spans="1:21" x14ac:dyDescent="0.25">
      <c r="A8" s="7" t="s">
        <v>27</v>
      </c>
      <c r="B8" s="9">
        <v>2222</v>
      </c>
      <c r="C8" s="9">
        <v>151</v>
      </c>
      <c r="D8" s="9">
        <v>26000</v>
      </c>
      <c r="E8" s="9">
        <v>7700</v>
      </c>
      <c r="F8" s="9">
        <v>15600</v>
      </c>
      <c r="G8" s="9">
        <v>1800</v>
      </c>
      <c r="H8" s="9">
        <v>0</v>
      </c>
      <c r="I8" s="9">
        <f t="shared" ref="I8:I31" si="0">SUM(D8:H8)</f>
        <v>51100</v>
      </c>
      <c r="J8" s="10">
        <f t="shared" ref="J8:J31" si="1">SUM(I8/B8)</f>
        <v>22.997299729972998</v>
      </c>
      <c r="K8" s="11">
        <f t="shared" ref="K8:K31" si="2">SUM(C8*J8)</f>
        <v>3472.5922592259226</v>
      </c>
      <c r="L8" s="9">
        <v>52857</v>
      </c>
      <c r="M8" s="9">
        <v>400</v>
      </c>
      <c r="N8" s="9">
        <v>146065</v>
      </c>
      <c r="O8" s="9"/>
      <c r="P8" s="7">
        <v>5541.38</v>
      </c>
      <c r="Q8" s="12">
        <f t="shared" ref="Q8:Q19" si="3">SUM(N8/231/S8)/0.65</f>
        <v>1.5817786549493869</v>
      </c>
      <c r="R8" s="11">
        <f t="shared" ref="R8:R31" si="4">SUM(K8:P8)</f>
        <v>208335.97225922593</v>
      </c>
      <c r="S8" s="14">
        <f>234+36+345</f>
        <v>615</v>
      </c>
      <c r="T8" s="12">
        <f t="shared" ref="T8:T19" si="5">SUM(R8/231/S8)/0.65</f>
        <v>2.2561283947404998</v>
      </c>
    </row>
    <row r="9" spans="1:21" x14ac:dyDescent="0.25">
      <c r="A9" s="7" t="s">
        <v>28</v>
      </c>
      <c r="B9" s="9">
        <v>4328</v>
      </c>
      <c r="C9" s="9">
        <v>65.099999999999994</v>
      </c>
      <c r="D9" s="9">
        <v>25000</v>
      </c>
      <c r="E9" s="9">
        <v>10000</v>
      </c>
      <c r="F9" s="9">
        <v>7500</v>
      </c>
      <c r="G9" s="9">
        <v>1600</v>
      </c>
      <c r="H9" s="9"/>
      <c r="I9" s="9">
        <f t="shared" si="0"/>
        <v>44100</v>
      </c>
      <c r="J9" s="10">
        <f t="shared" si="1"/>
        <v>10.189463955637708</v>
      </c>
      <c r="K9" s="11">
        <f t="shared" si="2"/>
        <v>663.33410351201474</v>
      </c>
      <c r="L9" s="9">
        <v>25642</v>
      </c>
      <c r="M9" s="9">
        <v>1050</v>
      </c>
      <c r="N9" s="9">
        <v>54000</v>
      </c>
      <c r="O9" s="9"/>
      <c r="P9" s="7">
        <v>1327.02</v>
      </c>
      <c r="Q9" s="12">
        <f t="shared" si="3"/>
        <v>1.4271442842871414</v>
      </c>
      <c r="R9" s="11">
        <f t="shared" si="4"/>
        <v>82682.354103512014</v>
      </c>
      <c r="S9" s="7">
        <f>221+31</f>
        <v>252</v>
      </c>
      <c r="T9" s="12">
        <f t="shared" si="5"/>
        <v>2.1851786864857901</v>
      </c>
    </row>
    <row r="10" spans="1:21" x14ac:dyDescent="0.25">
      <c r="A10" s="7" t="s">
        <v>29</v>
      </c>
      <c r="B10" s="9">
        <v>3390</v>
      </c>
      <c r="C10" s="9">
        <v>177.7</v>
      </c>
      <c r="D10" s="9">
        <v>23000</v>
      </c>
      <c r="E10" s="9">
        <v>6000</v>
      </c>
      <c r="F10" s="9">
        <v>8700</v>
      </c>
      <c r="G10" s="9">
        <v>700</v>
      </c>
      <c r="H10" s="9"/>
      <c r="I10" s="9">
        <f t="shared" si="0"/>
        <v>38400</v>
      </c>
      <c r="J10" s="10">
        <f t="shared" si="1"/>
        <v>11.327433628318584</v>
      </c>
      <c r="K10" s="11">
        <f t="shared" si="2"/>
        <v>2012.8849557522121</v>
      </c>
      <c r="L10" s="9">
        <v>25642</v>
      </c>
      <c r="M10" s="9">
        <v>700</v>
      </c>
      <c r="N10" s="9">
        <v>55000</v>
      </c>
      <c r="O10" s="9">
        <v>2100</v>
      </c>
      <c r="P10" s="7">
        <v>2350.9899999999998</v>
      </c>
      <c r="Q10" s="12">
        <f t="shared" si="3"/>
        <v>1.4421274263793948</v>
      </c>
      <c r="R10" s="11">
        <f t="shared" si="4"/>
        <v>87805.87495575221</v>
      </c>
      <c r="S10" s="7">
        <f>208+46</f>
        <v>254</v>
      </c>
      <c r="T10" s="12">
        <f t="shared" si="5"/>
        <v>2.3023138267441796</v>
      </c>
    </row>
    <row r="11" spans="1:21" x14ac:dyDescent="0.25">
      <c r="A11" s="7" t="s">
        <v>30</v>
      </c>
      <c r="B11" s="9">
        <v>858</v>
      </c>
      <c r="C11" s="9">
        <v>54.8</v>
      </c>
      <c r="D11" s="9"/>
      <c r="E11" s="9">
        <v>1350</v>
      </c>
      <c r="F11" s="9">
        <v>5500</v>
      </c>
      <c r="G11" s="9">
        <v>600</v>
      </c>
      <c r="H11" s="9">
        <v>8000</v>
      </c>
      <c r="I11" s="9">
        <f t="shared" si="0"/>
        <v>15450</v>
      </c>
      <c r="J11" s="10">
        <f t="shared" si="1"/>
        <v>18.006993006993007</v>
      </c>
      <c r="K11" s="11">
        <f t="shared" si="2"/>
        <v>986.78321678321674</v>
      </c>
      <c r="L11" s="9">
        <v>17530</v>
      </c>
      <c r="M11" s="9">
        <v>500</v>
      </c>
      <c r="N11" s="9">
        <v>17000</v>
      </c>
      <c r="O11" s="9"/>
      <c r="P11" s="12">
        <v>470.9</v>
      </c>
      <c r="Q11" s="12">
        <f t="shared" si="3"/>
        <v>1.3320013320013322</v>
      </c>
      <c r="R11" s="11">
        <f t="shared" si="4"/>
        <v>36487.683216783218</v>
      </c>
      <c r="S11" s="7">
        <f>67+18</f>
        <v>85</v>
      </c>
      <c r="T11" s="12">
        <f t="shared" si="5"/>
        <v>2.858920155670464</v>
      </c>
    </row>
    <row r="12" spans="1:21" x14ac:dyDescent="0.25">
      <c r="A12" s="7" t="s">
        <v>31</v>
      </c>
      <c r="B12" s="9">
        <v>1569</v>
      </c>
      <c r="C12" s="9">
        <v>67</v>
      </c>
      <c r="D12" s="9">
        <v>12500</v>
      </c>
      <c r="E12" s="9">
        <v>3400</v>
      </c>
      <c r="F12" s="9">
        <v>5200</v>
      </c>
      <c r="G12" s="9">
        <v>690</v>
      </c>
      <c r="H12" s="9">
        <v>0</v>
      </c>
      <c r="I12" s="9">
        <f t="shared" si="0"/>
        <v>21790</v>
      </c>
      <c r="J12" s="10">
        <f t="shared" si="1"/>
        <v>13.887826641172721</v>
      </c>
      <c r="K12" s="11">
        <f t="shared" si="2"/>
        <v>930.48438495857226</v>
      </c>
      <c r="L12" s="9">
        <v>25998</v>
      </c>
      <c r="M12" s="9">
        <v>450</v>
      </c>
      <c r="N12" s="9">
        <v>47885</v>
      </c>
      <c r="O12" s="9"/>
      <c r="P12" s="7">
        <v>2925.96</v>
      </c>
      <c r="Q12" s="12">
        <f t="shared" si="3"/>
        <v>1.3570826336783783</v>
      </c>
      <c r="R12" s="11">
        <f t="shared" si="4"/>
        <v>78189.44438495858</v>
      </c>
      <c r="S12" s="14">
        <v>235</v>
      </c>
      <c r="T12" s="12">
        <f t="shared" si="5"/>
        <v>2.2159243418980616</v>
      </c>
    </row>
    <row r="13" spans="1:21" x14ac:dyDescent="0.25">
      <c r="A13" s="7" t="s">
        <v>32</v>
      </c>
      <c r="B13" s="9">
        <v>934</v>
      </c>
      <c r="C13" s="9">
        <v>52.6</v>
      </c>
      <c r="D13" s="9">
        <v>8000</v>
      </c>
      <c r="E13" s="9">
        <v>3030</v>
      </c>
      <c r="F13" s="9">
        <v>6000</v>
      </c>
      <c r="G13" s="9">
        <v>500</v>
      </c>
      <c r="H13" s="9"/>
      <c r="I13" s="9">
        <f t="shared" si="0"/>
        <v>17530</v>
      </c>
      <c r="J13" s="10">
        <f t="shared" si="1"/>
        <v>18.768736616702355</v>
      </c>
      <c r="K13" s="11">
        <f t="shared" si="2"/>
        <v>987.23554603854393</v>
      </c>
      <c r="L13" s="9">
        <v>17530</v>
      </c>
      <c r="M13" s="9">
        <v>250</v>
      </c>
      <c r="N13" s="9">
        <v>25640</v>
      </c>
      <c r="O13" s="9">
        <v>1000</v>
      </c>
      <c r="P13" s="7">
        <v>450.92</v>
      </c>
      <c r="Q13" s="12">
        <f t="shared" si="3"/>
        <v>1.9856112879368693</v>
      </c>
      <c r="R13" s="11">
        <f t="shared" si="4"/>
        <v>45858.155546038543</v>
      </c>
      <c r="S13" s="7">
        <f>82+4</f>
        <v>86</v>
      </c>
      <c r="T13" s="12">
        <f t="shared" si="5"/>
        <v>3.5513444343283487</v>
      </c>
    </row>
    <row r="14" spans="1:21" x14ac:dyDescent="0.25">
      <c r="A14" s="7" t="s">
        <v>33</v>
      </c>
      <c r="B14" s="16">
        <v>2806</v>
      </c>
      <c r="C14" s="16">
        <v>221.1</v>
      </c>
      <c r="D14" s="9">
        <v>20000</v>
      </c>
      <c r="E14" s="9">
        <v>3000</v>
      </c>
      <c r="F14" s="9">
        <v>12000</v>
      </c>
      <c r="G14" s="9">
        <v>1050</v>
      </c>
      <c r="H14" s="9"/>
      <c r="I14" s="9">
        <f t="shared" si="0"/>
        <v>36050</v>
      </c>
      <c r="J14" s="10">
        <f t="shared" si="1"/>
        <v>12.847469707769067</v>
      </c>
      <c r="K14" s="11">
        <f t="shared" si="2"/>
        <v>2840.5755523877406</v>
      </c>
      <c r="L14" s="9">
        <v>16833</v>
      </c>
      <c r="M14" s="9">
        <v>300</v>
      </c>
      <c r="N14" s="9">
        <v>12500</v>
      </c>
      <c r="O14" s="9"/>
      <c r="P14" s="7">
        <v>716.55</v>
      </c>
      <c r="Q14" s="12">
        <f t="shared" si="3"/>
        <v>1.4866086294657723</v>
      </c>
      <c r="R14" s="11">
        <f t="shared" si="4"/>
        <v>33190.125552387741</v>
      </c>
      <c r="S14" s="7">
        <f>50+6</f>
        <v>56</v>
      </c>
      <c r="T14" s="12">
        <f t="shared" si="5"/>
        <v>3.9472581647385638</v>
      </c>
    </row>
    <row r="15" spans="1:21" x14ac:dyDescent="0.25">
      <c r="A15" s="7" t="s">
        <v>34</v>
      </c>
      <c r="B15" s="16">
        <v>1066.8</v>
      </c>
      <c r="C15" s="16">
        <v>38.299999999999997</v>
      </c>
      <c r="D15" s="9"/>
      <c r="E15" s="9">
        <v>1920</v>
      </c>
      <c r="F15" s="9">
        <v>5250</v>
      </c>
      <c r="G15" s="9">
        <v>171</v>
      </c>
      <c r="H15" s="9">
        <v>4800</v>
      </c>
      <c r="I15" s="9">
        <f t="shared" si="0"/>
        <v>12141</v>
      </c>
      <c r="J15" s="10">
        <f t="shared" si="1"/>
        <v>11.380764904386952</v>
      </c>
      <c r="K15" s="11">
        <f t="shared" si="2"/>
        <v>435.88329583802022</v>
      </c>
      <c r="L15" s="9">
        <v>17945</v>
      </c>
      <c r="M15" s="9">
        <v>125</v>
      </c>
      <c r="N15" s="9">
        <v>18870</v>
      </c>
      <c r="O15" s="9">
        <v>990</v>
      </c>
      <c r="P15" s="7"/>
      <c r="Q15" s="12">
        <f t="shared" si="3"/>
        <v>1.7215661051277489</v>
      </c>
      <c r="R15" s="11">
        <f t="shared" si="4"/>
        <v>38365.883295838023</v>
      </c>
      <c r="S15" s="7">
        <f>60+13</f>
        <v>73</v>
      </c>
      <c r="T15" s="12">
        <f t="shared" si="5"/>
        <v>3.5002334009221845</v>
      </c>
    </row>
    <row r="16" spans="1:21" x14ac:dyDescent="0.25">
      <c r="A16" s="7" t="s">
        <v>35</v>
      </c>
      <c r="B16" s="16">
        <v>834.2</v>
      </c>
      <c r="C16" s="16">
        <v>44.6</v>
      </c>
      <c r="D16" s="9">
        <v>8000</v>
      </c>
      <c r="E16" s="9">
        <v>2100</v>
      </c>
      <c r="F16" s="9">
        <v>6500</v>
      </c>
      <c r="G16" s="9">
        <v>400</v>
      </c>
      <c r="H16" s="9"/>
      <c r="I16" s="9">
        <f t="shared" si="0"/>
        <v>17000</v>
      </c>
      <c r="J16" s="10">
        <f t="shared" si="1"/>
        <v>20.378806041716615</v>
      </c>
      <c r="K16" s="11">
        <f t="shared" si="2"/>
        <v>908.89474946056112</v>
      </c>
      <c r="L16" s="9">
        <v>26473</v>
      </c>
      <c r="M16" s="9">
        <v>300</v>
      </c>
      <c r="N16" s="9">
        <v>25500</v>
      </c>
      <c r="O16" s="9">
        <v>600</v>
      </c>
      <c r="P16" s="7"/>
      <c r="Q16" s="12">
        <f t="shared" si="3"/>
        <v>1.3695981437916922</v>
      </c>
      <c r="R16" s="11">
        <f t="shared" si="4"/>
        <v>53781.89474946056</v>
      </c>
      <c r="S16" s="7">
        <f>101+23</f>
        <v>124</v>
      </c>
      <c r="T16" s="12">
        <f t="shared" si="5"/>
        <v>2.8886111066063265</v>
      </c>
    </row>
    <row r="17" spans="1:23" x14ac:dyDescent="0.25">
      <c r="A17" s="7" t="s">
        <v>36</v>
      </c>
      <c r="B17" s="16">
        <v>482</v>
      </c>
      <c r="C17" s="16">
        <v>26.7</v>
      </c>
      <c r="D17" s="9">
        <v>11000</v>
      </c>
      <c r="E17" s="9">
        <v>1300</v>
      </c>
      <c r="F17" s="9">
        <v>7800</v>
      </c>
      <c r="G17" s="9">
        <v>0</v>
      </c>
      <c r="H17" s="9"/>
      <c r="I17" s="9">
        <f t="shared" si="0"/>
        <v>20100</v>
      </c>
      <c r="J17" s="10">
        <f t="shared" si="1"/>
        <v>41.701244813278009</v>
      </c>
      <c r="K17" s="11">
        <f t="shared" si="2"/>
        <v>1113.4232365145228</v>
      </c>
      <c r="L17" s="9">
        <v>13681</v>
      </c>
      <c r="M17" s="9">
        <v>300</v>
      </c>
      <c r="N17" s="9">
        <v>13650</v>
      </c>
      <c r="O17" s="9"/>
      <c r="P17" s="7"/>
      <c r="Q17" s="12">
        <f t="shared" si="3"/>
        <v>1.3774104683195592</v>
      </c>
      <c r="R17" s="11">
        <f t="shared" si="4"/>
        <v>28744.423236514522</v>
      </c>
      <c r="S17" s="7">
        <f>55+11</f>
        <v>66</v>
      </c>
      <c r="T17" s="12">
        <f t="shared" si="5"/>
        <v>2.900576518079347</v>
      </c>
    </row>
    <row r="18" spans="1:23" x14ac:dyDescent="0.25">
      <c r="A18" s="7" t="s">
        <v>37</v>
      </c>
      <c r="B18" s="16">
        <v>1047.2</v>
      </c>
      <c r="C18" s="16">
        <v>26.2</v>
      </c>
      <c r="D18" s="9">
        <v>4300</v>
      </c>
      <c r="E18" s="9"/>
      <c r="F18" s="9">
        <v>14400</v>
      </c>
      <c r="G18" s="9">
        <v>1050</v>
      </c>
      <c r="H18" s="9"/>
      <c r="I18" s="9">
        <f t="shared" si="0"/>
        <v>19750</v>
      </c>
      <c r="J18" s="10">
        <f t="shared" si="1"/>
        <v>18.859816653934299</v>
      </c>
      <c r="K18" s="11">
        <f t="shared" si="2"/>
        <v>494.12719633307864</v>
      </c>
      <c r="L18" s="9">
        <v>17456</v>
      </c>
      <c r="M18" s="9"/>
      <c r="N18" s="9">
        <v>21600</v>
      </c>
      <c r="O18" s="9"/>
      <c r="P18" s="7"/>
      <c r="Q18" s="12">
        <f t="shared" si="3"/>
        <v>1.4985014985014986</v>
      </c>
      <c r="R18" s="11">
        <f t="shared" si="4"/>
        <v>39550.12719633308</v>
      </c>
      <c r="S18" s="7">
        <f>93+3</f>
        <v>96</v>
      </c>
      <c r="T18" s="12">
        <f t="shared" si="5"/>
        <v>2.7437928180384255</v>
      </c>
    </row>
    <row r="19" spans="1:23" x14ac:dyDescent="0.25">
      <c r="A19" s="17" t="s">
        <v>38</v>
      </c>
      <c r="B19" s="18">
        <f>SUM(B7:B18)</f>
        <v>20218.2</v>
      </c>
      <c r="C19" s="18">
        <f t="shared" ref="C19:P19" si="6">SUM(C7:C18)</f>
        <v>954.1</v>
      </c>
      <c r="D19" s="18">
        <f t="shared" si="6"/>
        <v>145000</v>
      </c>
      <c r="E19" s="18">
        <f t="shared" si="6"/>
        <v>42800</v>
      </c>
      <c r="F19" s="18">
        <f t="shared" si="6"/>
        <v>99750</v>
      </c>
      <c r="G19" s="18">
        <f t="shared" si="6"/>
        <v>9361</v>
      </c>
      <c r="H19" s="18">
        <f t="shared" si="6"/>
        <v>12800</v>
      </c>
      <c r="I19" s="18">
        <f t="shared" si="6"/>
        <v>309711</v>
      </c>
      <c r="J19" s="18">
        <f t="shared" si="6"/>
        <v>224.28124483350933</v>
      </c>
      <c r="K19" s="18">
        <f t="shared" si="6"/>
        <v>15540.344781679592</v>
      </c>
      <c r="L19" s="18">
        <f t="shared" si="6"/>
        <v>283585</v>
      </c>
      <c r="M19" s="18">
        <f t="shared" si="6"/>
        <v>4732</v>
      </c>
      <c r="N19" s="18">
        <f t="shared" si="6"/>
        <v>454925</v>
      </c>
      <c r="O19" s="18">
        <f t="shared" si="6"/>
        <v>4690</v>
      </c>
      <c r="P19" s="18">
        <f t="shared" si="6"/>
        <v>14100.78</v>
      </c>
      <c r="Q19" s="19">
        <f t="shared" si="3"/>
        <v>1.814253610660796</v>
      </c>
      <c r="R19" s="19">
        <f>SUM(R7:R18)</f>
        <v>777573.12478167959</v>
      </c>
      <c r="S19" s="20">
        <f>SUM(S7:S14)</f>
        <v>1670</v>
      </c>
      <c r="T19" s="19">
        <f t="shared" si="5"/>
        <v>3.1009833471186683</v>
      </c>
      <c r="U19" s="21"/>
      <c r="V19" s="37">
        <v>2.46</v>
      </c>
      <c r="W19" t="s">
        <v>58</v>
      </c>
    </row>
    <row r="20" spans="1:23" x14ac:dyDescent="0.25">
      <c r="A20" s="23" t="s">
        <v>39</v>
      </c>
      <c r="B20" s="24">
        <v>9098</v>
      </c>
      <c r="C20" s="24">
        <v>230</v>
      </c>
      <c r="D20" s="24">
        <v>94500</v>
      </c>
      <c r="E20" s="24">
        <v>6825</v>
      </c>
      <c r="F20" s="24">
        <v>26325</v>
      </c>
      <c r="G20" s="24"/>
      <c r="H20" s="24"/>
      <c r="I20" s="9">
        <f t="shared" ref="I20:I23" si="7">SUM(D20:H20)</f>
        <v>127650</v>
      </c>
      <c r="J20" s="10">
        <f t="shared" ref="J20:J23" si="8">SUM(I20/B20)</f>
        <v>14.030556166190372</v>
      </c>
      <c r="K20" s="11">
        <f t="shared" si="2"/>
        <v>3227.0279182237855</v>
      </c>
      <c r="L20" s="24">
        <v>71677</v>
      </c>
      <c r="M20" s="24">
        <v>1260</v>
      </c>
      <c r="N20" s="24">
        <v>122977</v>
      </c>
      <c r="O20" s="24">
        <v>4400</v>
      </c>
      <c r="P20" s="18"/>
      <c r="Q20" s="12">
        <f t="shared" ref="Q20:Q29" si="9">SUM(N20/169/S20)</f>
        <v>1.4352555349369185</v>
      </c>
      <c r="R20" s="11">
        <f t="shared" si="4"/>
        <v>203541.02791822379</v>
      </c>
      <c r="S20" s="23">
        <f>465+42</f>
        <v>507</v>
      </c>
      <c r="T20" s="10">
        <f t="shared" ref="T20:T29" si="10">SUM(R20/169/S20)</f>
        <v>2.3755123877341338</v>
      </c>
      <c r="U20" s="21"/>
      <c r="V20" s="22"/>
    </row>
    <row r="21" spans="1:23" x14ac:dyDescent="0.25">
      <c r="A21" s="23" t="s">
        <v>40</v>
      </c>
      <c r="B21" s="24">
        <v>2470.4</v>
      </c>
      <c r="C21" s="24">
        <v>129.1</v>
      </c>
      <c r="D21" s="24"/>
      <c r="E21" s="24">
        <v>1500</v>
      </c>
      <c r="F21" s="24">
        <v>9300</v>
      </c>
      <c r="G21" s="24">
        <v>300</v>
      </c>
      <c r="H21" s="24">
        <v>4266</v>
      </c>
      <c r="I21" s="9">
        <f t="shared" si="7"/>
        <v>15366</v>
      </c>
      <c r="J21" s="10">
        <f t="shared" si="8"/>
        <v>6.2200453367875648</v>
      </c>
      <c r="K21" s="11">
        <f t="shared" si="2"/>
        <v>803.00785297927462</v>
      </c>
      <c r="L21" s="24">
        <v>27659</v>
      </c>
      <c r="M21" s="24">
        <v>150</v>
      </c>
      <c r="N21" s="24">
        <v>31432</v>
      </c>
      <c r="O21" s="18"/>
      <c r="P21" s="18"/>
      <c r="Q21" s="12">
        <f t="shared" si="9"/>
        <v>1.3380443574134775</v>
      </c>
      <c r="R21" s="11">
        <f t="shared" si="4"/>
        <v>60044.007852979274</v>
      </c>
      <c r="S21" s="23">
        <f>124+15</f>
        <v>139</v>
      </c>
      <c r="T21" s="10">
        <f t="shared" si="10"/>
        <v>2.5560430740700384</v>
      </c>
      <c r="U21" s="21"/>
      <c r="V21" s="22"/>
    </row>
    <row r="22" spans="1:23" x14ac:dyDescent="0.25">
      <c r="A22" s="23" t="s">
        <v>41</v>
      </c>
      <c r="B22" s="24">
        <v>2964</v>
      </c>
      <c r="C22" s="24">
        <v>193.1</v>
      </c>
      <c r="D22" s="24"/>
      <c r="E22" s="24">
        <v>4000</v>
      </c>
      <c r="F22" s="24">
        <v>16500</v>
      </c>
      <c r="G22" s="24">
        <v>2450</v>
      </c>
      <c r="H22" s="24">
        <v>18000</v>
      </c>
      <c r="I22" s="9">
        <f t="shared" si="7"/>
        <v>40950</v>
      </c>
      <c r="J22" s="10">
        <f t="shared" si="8"/>
        <v>13.815789473684211</v>
      </c>
      <c r="K22" s="11">
        <f t="shared" si="2"/>
        <v>2667.8289473684208</v>
      </c>
      <c r="L22" s="24">
        <v>44715</v>
      </c>
      <c r="M22" s="24">
        <v>500</v>
      </c>
      <c r="N22" s="24">
        <v>38550</v>
      </c>
      <c r="O22" s="18"/>
      <c r="P22" s="18"/>
      <c r="Q22" s="12">
        <f t="shared" si="9"/>
        <v>1.2133324940198917</v>
      </c>
      <c r="R22" s="11">
        <f t="shared" si="4"/>
        <v>86432.828947368427</v>
      </c>
      <c r="S22" s="23">
        <f>165+23</f>
        <v>188</v>
      </c>
      <c r="T22" s="10">
        <f t="shared" si="10"/>
        <v>2.7204088174294485</v>
      </c>
      <c r="U22" s="21"/>
      <c r="V22" s="22"/>
    </row>
    <row r="23" spans="1:23" x14ac:dyDescent="0.25">
      <c r="A23" s="23" t="s">
        <v>42</v>
      </c>
      <c r="B23" s="24">
        <v>1184.9000000000001</v>
      </c>
      <c r="C23" s="24">
        <v>129.1</v>
      </c>
      <c r="D23" s="24">
        <v>7700</v>
      </c>
      <c r="E23" s="24"/>
      <c r="F23" s="24">
        <v>12200</v>
      </c>
      <c r="G23" s="24">
        <v>1100</v>
      </c>
      <c r="H23" s="24"/>
      <c r="I23" s="9">
        <f t="shared" si="7"/>
        <v>21000</v>
      </c>
      <c r="J23" s="10">
        <f t="shared" si="8"/>
        <v>17.723014600388218</v>
      </c>
      <c r="K23" s="11">
        <f t="shared" si="2"/>
        <v>2288.0411849101188</v>
      </c>
      <c r="L23" s="24">
        <v>26102</v>
      </c>
      <c r="M23" s="24"/>
      <c r="N23" s="24">
        <v>33035</v>
      </c>
      <c r="O23" s="18"/>
      <c r="P23" s="18"/>
      <c r="Q23" s="12">
        <f t="shared" si="9"/>
        <v>1.3765730477539795</v>
      </c>
      <c r="R23" s="11">
        <f t="shared" si="4"/>
        <v>61425.041184910122</v>
      </c>
      <c r="S23" s="23">
        <f>132+10</f>
        <v>142</v>
      </c>
      <c r="T23" s="10">
        <f t="shared" si="10"/>
        <v>2.5595900152058557</v>
      </c>
      <c r="U23" s="21"/>
      <c r="V23" s="22"/>
    </row>
    <row r="24" spans="1:23" x14ac:dyDescent="0.25">
      <c r="A24" s="7" t="s">
        <v>43</v>
      </c>
      <c r="B24" s="9">
        <v>1565</v>
      </c>
      <c r="C24" s="9">
        <v>114</v>
      </c>
      <c r="D24" s="9">
        <v>0</v>
      </c>
      <c r="E24" s="9">
        <v>1135</v>
      </c>
      <c r="F24" s="9">
        <v>5300</v>
      </c>
      <c r="G24" s="9">
        <v>600</v>
      </c>
      <c r="H24" s="9">
        <v>12000</v>
      </c>
      <c r="I24" s="9">
        <f t="shared" si="0"/>
        <v>19035</v>
      </c>
      <c r="J24" s="10">
        <f t="shared" si="1"/>
        <v>12.1629392971246</v>
      </c>
      <c r="K24" s="11">
        <f t="shared" si="2"/>
        <v>1386.5750798722045</v>
      </c>
      <c r="L24" s="9">
        <v>15469</v>
      </c>
      <c r="M24" s="9">
        <v>300</v>
      </c>
      <c r="N24" s="9">
        <v>15862</v>
      </c>
      <c r="O24" s="9"/>
      <c r="P24" s="12">
        <v>105</v>
      </c>
      <c r="Q24" s="12">
        <f t="shared" si="9"/>
        <v>1.203307540585647</v>
      </c>
      <c r="R24" s="11">
        <f t="shared" si="4"/>
        <v>33122.5750798722</v>
      </c>
      <c r="S24" s="7">
        <f>62+16</f>
        <v>78</v>
      </c>
      <c r="T24" s="10">
        <f t="shared" si="10"/>
        <v>2.5127124169224855</v>
      </c>
      <c r="U24" s="13"/>
    </row>
    <row r="25" spans="1:23" x14ac:dyDescent="0.25">
      <c r="A25" s="7" t="s">
        <v>44</v>
      </c>
      <c r="B25" s="9">
        <v>1064</v>
      </c>
      <c r="C25" s="9">
        <v>91.1</v>
      </c>
      <c r="D25" s="9">
        <v>11200</v>
      </c>
      <c r="E25" s="9">
        <v>1500</v>
      </c>
      <c r="F25" s="9">
        <v>10200</v>
      </c>
      <c r="G25" s="9">
        <v>400</v>
      </c>
      <c r="H25" s="9">
        <v>0</v>
      </c>
      <c r="I25" s="9">
        <f t="shared" si="0"/>
        <v>23300</v>
      </c>
      <c r="J25" s="10">
        <f t="shared" si="1"/>
        <v>21.898496240601503</v>
      </c>
      <c r="K25" s="11">
        <f t="shared" si="2"/>
        <v>1994.9530075187968</v>
      </c>
      <c r="L25" s="9">
        <v>15958</v>
      </c>
      <c r="M25" s="9">
        <v>200</v>
      </c>
      <c r="N25" s="9">
        <v>28485</v>
      </c>
      <c r="O25" s="9"/>
      <c r="P25" s="7">
        <v>745.88</v>
      </c>
      <c r="Q25" s="12">
        <f t="shared" si="9"/>
        <v>1.4045857988165682</v>
      </c>
      <c r="R25" s="11">
        <f t="shared" si="4"/>
        <v>47383.833007518791</v>
      </c>
      <c r="S25" s="7">
        <f>105+15</f>
        <v>120</v>
      </c>
      <c r="T25" s="10">
        <f t="shared" si="10"/>
        <v>2.3364809175305128</v>
      </c>
      <c r="U25" s="13"/>
    </row>
    <row r="26" spans="1:23" x14ac:dyDescent="0.25">
      <c r="A26" s="7" t="s">
        <v>45</v>
      </c>
      <c r="B26" s="9">
        <v>4977</v>
      </c>
      <c r="C26" s="9">
        <v>276.5</v>
      </c>
      <c r="D26" s="9"/>
      <c r="E26" s="9">
        <v>5700</v>
      </c>
      <c r="F26" s="9">
        <v>13000</v>
      </c>
      <c r="G26" s="9">
        <v>3100</v>
      </c>
      <c r="H26" s="9">
        <v>25000</v>
      </c>
      <c r="I26" s="9">
        <f t="shared" si="0"/>
        <v>46800</v>
      </c>
      <c r="J26" s="10">
        <f t="shared" si="1"/>
        <v>9.4032549728752262</v>
      </c>
      <c r="K26" s="11">
        <f t="shared" si="2"/>
        <v>2600</v>
      </c>
      <c r="L26" s="9">
        <v>23996</v>
      </c>
      <c r="M26" s="9">
        <v>600</v>
      </c>
      <c r="N26" s="9">
        <v>48044</v>
      </c>
      <c r="O26" s="9"/>
      <c r="P26" s="7">
        <v>1599.49</v>
      </c>
      <c r="Q26" s="12">
        <f t="shared" si="9"/>
        <v>1.5450218677643428</v>
      </c>
      <c r="R26" s="11">
        <f t="shared" si="4"/>
        <v>76839.490000000005</v>
      </c>
      <c r="S26" s="7">
        <f>178+6</f>
        <v>184</v>
      </c>
      <c r="T26" s="10">
        <f t="shared" si="10"/>
        <v>2.4710409698996658</v>
      </c>
      <c r="U26" s="13"/>
    </row>
    <row r="27" spans="1:23" x14ac:dyDescent="0.25">
      <c r="A27" s="16" t="s">
        <v>46</v>
      </c>
      <c r="B27" s="8">
        <v>4638</v>
      </c>
      <c r="C27" s="8">
        <v>112</v>
      </c>
      <c r="D27" s="9">
        <v>25000</v>
      </c>
      <c r="E27" s="9">
        <v>4300</v>
      </c>
      <c r="F27" s="9">
        <v>10400</v>
      </c>
      <c r="G27" s="9">
        <v>700</v>
      </c>
      <c r="H27" s="9">
        <v>0</v>
      </c>
      <c r="I27" s="9">
        <f t="shared" si="0"/>
        <v>40400</v>
      </c>
      <c r="J27" s="10">
        <f t="shared" si="1"/>
        <v>8.710651142733937</v>
      </c>
      <c r="K27" s="11">
        <f t="shared" si="2"/>
        <v>975.59292798620095</v>
      </c>
      <c r="L27" s="9"/>
      <c r="M27" s="25">
        <v>500</v>
      </c>
      <c r="N27" s="9"/>
      <c r="O27" s="9"/>
      <c r="P27" s="7">
        <v>784.51</v>
      </c>
      <c r="Q27" s="12">
        <f t="shared" si="9"/>
        <v>0</v>
      </c>
      <c r="R27" s="11">
        <f t="shared" si="4"/>
        <v>2260.1029279862009</v>
      </c>
      <c r="S27" s="7">
        <f>320+25</f>
        <v>345</v>
      </c>
      <c r="T27" s="15">
        <f t="shared" si="10"/>
        <v>3.8763449583847032E-2</v>
      </c>
      <c r="U27" s="13"/>
    </row>
    <row r="28" spans="1:23" x14ac:dyDescent="0.25">
      <c r="A28" s="7" t="s">
        <v>47</v>
      </c>
      <c r="B28" s="9">
        <v>2039</v>
      </c>
      <c r="C28" s="9"/>
      <c r="D28" s="9">
        <v>14000</v>
      </c>
      <c r="E28" s="9">
        <v>1485</v>
      </c>
      <c r="F28" s="9">
        <v>4560</v>
      </c>
      <c r="G28" s="9">
        <v>1100</v>
      </c>
      <c r="H28" s="9">
        <v>0</v>
      </c>
      <c r="I28" s="9">
        <f t="shared" si="0"/>
        <v>21145</v>
      </c>
      <c r="J28" s="10">
        <f t="shared" si="1"/>
        <v>10.370279548798431</v>
      </c>
      <c r="K28" s="11">
        <f t="shared" si="2"/>
        <v>0</v>
      </c>
      <c r="L28" s="9"/>
      <c r="M28" s="25">
        <v>100</v>
      </c>
      <c r="N28" s="25">
        <v>100</v>
      </c>
      <c r="O28" s="9"/>
      <c r="P28" s="12">
        <v>219</v>
      </c>
      <c r="Q28" s="12">
        <f t="shared" si="9"/>
        <v>4.4826967903890983E-3</v>
      </c>
      <c r="R28" s="11">
        <f t="shared" si="4"/>
        <v>419</v>
      </c>
      <c r="S28" s="7">
        <f>120+12</f>
        <v>132</v>
      </c>
      <c r="T28" s="15">
        <f t="shared" si="10"/>
        <v>1.8782499551730322E-2</v>
      </c>
      <c r="U28" s="13"/>
    </row>
    <row r="29" spans="1:23" x14ac:dyDescent="0.25">
      <c r="A29" s="7" t="s">
        <v>48</v>
      </c>
      <c r="B29" s="9">
        <v>2213</v>
      </c>
      <c r="C29" s="9">
        <v>98.5</v>
      </c>
      <c r="D29" s="9">
        <v>0</v>
      </c>
      <c r="E29" s="9">
        <v>2640</v>
      </c>
      <c r="F29" s="9">
        <v>8700</v>
      </c>
      <c r="G29" s="9">
        <v>650</v>
      </c>
      <c r="H29" s="9">
        <v>20000</v>
      </c>
      <c r="I29" s="9">
        <f t="shared" si="0"/>
        <v>31990</v>
      </c>
      <c r="J29" s="10">
        <f t="shared" si="1"/>
        <v>14.455490284681428</v>
      </c>
      <c r="K29" s="11">
        <f t="shared" si="2"/>
        <v>1423.8657930411207</v>
      </c>
      <c r="L29" s="9">
        <v>17649</v>
      </c>
      <c r="M29" s="9">
        <v>200</v>
      </c>
      <c r="N29" s="9">
        <v>31056</v>
      </c>
      <c r="O29" s="26"/>
      <c r="P29" s="7">
        <v>2328.06</v>
      </c>
      <c r="Q29" s="12">
        <f t="shared" si="9"/>
        <v>1.2169755868176653</v>
      </c>
      <c r="R29" s="11">
        <f t="shared" si="4"/>
        <v>52656.925793041119</v>
      </c>
      <c r="S29" s="7">
        <f>126+25</f>
        <v>151</v>
      </c>
      <c r="T29" s="10">
        <f t="shared" si="10"/>
        <v>2.0634400169693605</v>
      </c>
      <c r="U29" s="13"/>
    </row>
    <row r="30" spans="1:23" x14ac:dyDescent="0.25">
      <c r="A30" s="27" t="s">
        <v>49</v>
      </c>
      <c r="B30" s="28">
        <v>1681</v>
      </c>
      <c r="C30" s="28">
        <v>166</v>
      </c>
      <c r="D30" s="28">
        <v>0</v>
      </c>
      <c r="E30" s="28"/>
      <c r="F30" s="28">
        <v>9300</v>
      </c>
      <c r="G30" s="28">
        <v>200</v>
      </c>
      <c r="H30" s="29">
        <v>6098</v>
      </c>
      <c r="I30" s="9">
        <f t="shared" si="0"/>
        <v>15598</v>
      </c>
      <c r="J30" s="10">
        <f t="shared" si="1"/>
        <v>9.279000594883998</v>
      </c>
      <c r="K30" s="11">
        <f t="shared" si="2"/>
        <v>1540.3140987507436</v>
      </c>
      <c r="L30" s="9">
        <v>23640</v>
      </c>
      <c r="M30" s="24">
        <v>200</v>
      </c>
      <c r="N30" s="24">
        <v>18992</v>
      </c>
      <c r="O30" s="18"/>
      <c r="P30" s="7">
        <v>2027.13</v>
      </c>
      <c r="Q30" s="12">
        <f>SUM(N30/96/S30)</f>
        <v>2.1503623188405796</v>
      </c>
      <c r="R30" s="11">
        <f t="shared" si="4"/>
        <v>46399.444098750741</v>
      </c>
      <c r="S30" s="7">
        <f>60+32</f>
        <v>92</v>
      </c>
      <c r="T30" s="30">
        <f>SUM(R30/96/S30)</f>
        <v>5.2535602466882638</v>
      </c>
      <c r="U30" s="13"/>
    </row>
    <row r="31" spans="1:23" x14ac:dyDescent="0.25">
      <c r="A31" s="7" t="s">
        <v>50</v>
      </c>
      <c r="B31" s="9">
        <v>2731</v>
      </c>
      <c r="C31" s="9">
        <v>132</v>
      </c>
      <c r="D31" s="9">
        <v>32000</v>
      </c>
      <c r="E31" s="9">
        <v>5700</v>
      </c>
      <c r="F31" s="9">
        <v>22000</v>
      </c>
      <c r="G31" s="9">
        <v>2100</v>
      </c>
      <c r="H31" s="9"/>
      <c r="I31" s="9">
        <f t="shared" si="0"/>
        <v>61800</v>
      </c>
      <c r="J31" s="10">
        <f t="shared" si="1"/>
        <v>22.629073599414134</v>
      </c>
      <c r="K31" s="11">
        <f t="shared" si="2"/>
        <v>2987.0377151226658</v>
      </c>
      <c r="L31" s="9">
        <v>44745</v>
      </c>
      <c r="M31" s="9">
        <v>400</v>
      </c>
      <c r="N31" s="9">
        <v>28000</v>
      </c>
      <c r="O31" s="9">
        <v>2132</v>
      </c>
      <c r="P31" s="7">
        <v>6217.03</v>
      </c>
      <c r="Q31" s="12">
        <f>SUM(N31/169/S31)</f>
        <v>0.64467110261782512</v>
      </c>
      <c r="R31" s="11">
        <f t="shared" si="4"/>
        <v>84481.067715122655</v>
      </c>
      <c r="S31" s="7">
        <f>227+30</f>
        <v>257</v>
      </c>
      <c r="T31" s="31">
        <f>SUM(R31/169/S31)</f>
        <v>1.9450893955085455</v>
      </c>
      <c r="U31" s="32"/>
    </row>
    <row r="32" spans="1:23" x14ac:dyDescent="0.25">
      <c r="A32" s="33" t="s">
        <v>51</v>
      </c>
      <c r="B32" s="1">
        <f>SUM(B20:B31)</f>
        <v>36625.300000000003</v>
      </c>
      <c r="C32" s="1">
        <f t="shared" ref="C32:P32" si="11">SUM(C20:C31)</f>
        <v>1671.4</v>
      </c>
      <c r="D32" s="1">
        <f t="shared" si="11"/>
        <v>184400</v>
      </c>
      <c r="E32" s="1">
        <f t="shared" si="11"/>
        <v>34785</v>
      </c>
      <c r="F32" s="1">
        <f t="shared" si="11"/>
        <v>147785</v>
      </c>
      <c r="G32" s="1">
        <f t="shared" si="11"/>
        <v>12700</v>
      </c>
      <c r="H32" s="1">
        <f t="shared" si="11"/>
        <v>85364</v>
      </c>
      <c r="I32" s="1">
        <f t="shared" si="11"/>
        <v>465034</v>
      </c>
      <c r="J32" s="1">
        <f t="shared" si="11"/>
        <v>160.69859125816365</v>
      </c>
      <c r="K32" s="1">
        <f t="shared" si="11"/>
        <v>21894.244525773327</v>
      </c>
      <c r="L32" s="1">
        <f t="shared" si="11"/>
        <v>311610</v>
      </c>
      <c r="M32" s="1">
        <f t="shared" si="11"/>
        <v>4410</v>
      </c>
      <c r="N32" s="1">
        <f t="shared" si="11"/>
        <v>396533</v>
      </c>
      <c r="O32" s="1">
        <f t="shared" si="11"/>
        <v>6532</v>
      </c>
      <c r="P32" s="1">
        <f t="shared" si="11"/>
        <v>14026.1</v>
      </c>
      <c r="Q32" s="19">
        <f>SUM(N32/169/S32)</f>
        <v>1.72652620487567</v>
      </c>
      <c r="R32" s="34">
        <f>SUM(R20:R31)</f>
        <v>755005.34452577331</v>
      </c>
      <c r="S32" s="35">
        <f>SUM(S24:S31)</f>
        <v>1359</v>
      </c>
      <c r="V32" s="37">
        <f>SUM((R32-R27-R28-R31)/171/(S32-S27-S28-S31))</f>
        <v>6.2488437322354562</v>
      </c>
      <c r="W32" t="s">
        <v>57</v>
      </c>
    </row>
    <row r="33" spans="1:21" x14ac:dyDescent="0.25">
      <c r="A33" t="s">
        <v>52</v>
      </c>
      <c r="D33" s="34">
        <f t="shared" ref="D33:P33" si="12">SUM(D19+D32)</f>
        <v>329400</v>
      </c>
      <c r="E33" s="34">
        <f t="shared" si="12"/>
        <v>77585</v>
      </c>
      <c r="F33" s="34">
        <f t="shared" si="12"/>
        <v>247535</v>
      </c>
      <c r="G33" s="34">
        <f t="shared" si="12"/>
        <v>22061</v>
      </c>
      <c r="H33" s="34">
        <f t="shared" si="12"/>
        <v>98164</v>
      </c>
      <c r="I33" s="34">
        <f t="shared" si="12"/>
        <v>774745</v>
      </c>
      <c r="J33" s="34">
        <f t="shared" si="12"/>
        <v>384.97983609167295</v>
      </c>
      <c r="K33" s="34">
        <f t="shared" si="12"/>
        <v>37434.589307452916</v>
      </c>
      <c r="L33" s="34">
        <f t="shared" si="12"/>
        <v>595195</v>
      </c>
      <c r="M33" s="34">
        <f t="shared" si="12"/>
        <v>9142</v>
      </c>
      <c r="N33" s="34">
        <f t="shared" si="12"/>
        <v>851458</v>
      </c>
      <c r="O33" s="34">
        <f t="shared" si="12"/>
        <v>11222</v>
      </c>
      <c r="P33" s="34">
        <f t="shared" si="12"/>
        <v>28126.880000000001</v>
      </c>
      <c r="R33" s="34">
        <f>SUM(R19+R32)</f>
        <v>1532578.4693074529</v>
      </c>
      <c r="T33" s="36">
        <f>SUM(T7:T31)</f>
        <v>64.715459489456322</v>
      </c>
    </row>
    <row r="34" spans="1:21" x14ac:dyDescent="0.25">
      <c r="A34" t="s">
        <v>53</v>
      </c>
      <c r="U34">
        <f>T33/31</f>
        <v>2.0875954674018167</v>
      </c>
    </row>
    <row r="36" spans="1:21" x14ac:dyDescent="0.25">
      <c r="A36" t="s">
        <v>54</v>
      </c>
      <c r="E36" t="s">
        <v>55</v>
      </c>
    </row>
    <row r="37" spans="1:21" x14ac:dyDescent="0.25">
      <c r="A37" t="s">
        <v>56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8"/>
  <sheetViews>
    <sheetView topLeftCell="A45" zoomScale="190" zoomScaleNormal="190" workbookViewId="0">
      <selection activeCell="D45" sqref="D45"/>
    </sheetView>
  </sheetViews>
  <sheetFormatPr defaultRowHeight="15" x14ac:dyDescent="0.25"/>
  <cols>
    <col min="1" max="1" width="16" style="39" bestFit="1" customWidth="1"/>
    <col min="2" max="2" width="10.28515625" style="39" customWidth="1"/>
    <col min="3" max="3" width="6" style="39" bestFit="1" customWidth="1"/>
    <col min="4" max="4" width="14.5703125" style="39" bestFit="1" customWidth="1"/>
    <col min="5" max="5" width="14.7109375" style="39" bestFit="1" customWidth="1"/>
    <col min="6" max="16384" width="9.140625" style="39"/>
  </cols>
  <sheetData>
    <row r="1" spans="1:7" x14ac:dyDescent="0.25">
      <c r="A1" s="38"/>
      <c r="B1" s="38" t="s">
        <v>61</v>
      </c>
      <c r="C1" s="38"/>
      <c r="D1" s="38"/>
      <c r="E1" s="38"/>
      <c r="F1" s="38"/>
    </row>
    <row r="2" spans="1:7" x14ac:dyDescent="0.25">
      <c r="A2" s="38"/>
      <c r="B2" s="38"/>
      <c r="C2" s="38"/>
      <c r="D2" s="38"/>
      <c r="E2" s="38"/>
      <c r="F2" s="38"/>
    </row>
    <row r="3" spans="1:7" ht="15.75" thickBot="1" x14ac:dyDescent="0.3">
      <c r="A3" s="38"/>
      <c r="B3" s="38"/>
      <c r="C3" s="38"/>
      <c r="D3" s="38"/>
      <c r="E3" s="38"/>
      <c r="F3" s="38"/>
    </row>
    <row r="4" spans="1:7" x14ac:dyDescent="0.25">
      <c r="A4" s="85" t="s">
        <v>62</v>
      </c>
      <c r="B4" s="85" t="s">
        <v>63</v>
      </c>
      <c r="C4" s="85" t="s">
        <v>64</v>
      </c>
      <c r="D4" s="40" t="s">
        <v>65</v>
      </c>
      <c r="E4" s="41" t="s">
        <v>66</v>
      </c>
      <c r="F4" s="42"/>
      <c r="G4" s="43"/>
    </row>
    <row r="5" spans="1:7" s="48" customFormat="1" ht="27" thickBot="1" x14ac:dyDescent="0.3">
      <c r="A5" s="86"/>
      <c r="B5" s="86"/>
      <c r="C5" s="86"/>
      <c r="D5" s="44" t="s">
        <v>92</v>
      </c>
      <c r="E5" s="45"/>
      <c r="F5" s="46" t="s">
        <v>67</v>
      </c>
      <c r="G5" s="47" t="s">
        <v>68</v>
      </c>
    </row>
    <row r="6" spans="1:7" ht="15.75" thickBot="1" x14ac:dyDescent="0.3">
      <c r="A6" s="49" t="s">
        <v>69</v>
      </c>
      <c r="B6" s="50" t="s">
        <v>70</v>
      </c>
      <c r="C6" s="50">
        <v>2</v>
      </c>
      <c r="D6" s="51">
        <v>1570</v>
      </c>
      <c r="E6" s="52">
        <f>SUM(D6:D8)</f>
        <v>4370</v>
      </c>
      <c r="F6" s="42">
        <f>E6*12</f>
        <v>52440</v>
      </c>
      <c r="G6" s="43">
        <f>F6*1.2359</f>
        <v>64810.595999999998</v>
      </c>
    </row>
    <row r="7" spans="1:7" ht="15.75" thickBot="1" x14ac:dyDescent="0.3">
      <c r="A7" s="49"/>
      <c r="B7" s="50" t="s">
        <v>71</v>
      </c>
      <c r="C7" s="50">
        <v>2</v>
      </c>
      <c r="D7" s="51">
        <v>1500</v>
      </c>
      <c r="E7" s="53"/>
      <c r="F7" s="54"/>
      <c r="G7" s="55"/>
    </row>
    <row r="8" spans="1:7" ht="15.75" thickBot="1" x14ac:dyDescent="0.3">
      <c r="A8" s="56"/>
      <c r="B8" s="50" t="s">
        <v>71</v>
      </c>
      <c r="C8" s="50">
        <v>2</v>
      </c>
      <c r="D8" s="51">
        <v>1300</v>
      </c>
      <c r="E8" s="57"/>
      <c r="F8" s="58"/>
      <c r="G8" s="59"/>
    </row>
    <row r="9" spans="1:7" ht="15.75" thickBot="1" x14ac:dyDescent="0.3">
      <c r="A9" s="49" t="s">
        <v>72</v>
      </c>
      <c r="B9" s="50" t="s">
        <v>70</v>
      </c>
      <c r="C9" s="50">
        <v>1</v>
      </c>
      <c r="D9" s="51">
        <v>775</v>
      </c>
      <c r="E9" s="52">
        <f>SUM(D9:D10)</f>
        <v>2155</v>
      </c>
      <c r="F9" s="42">
        <f t="shared" ref="F9:F54" si="0">E9*12</f>
        <v>25860</v>
      </c>
      <c r="G9" s="43">
        <f t="shared" ref="G9:G54" si="1">F9*1.2359</f>
        <v>31960.374</v>
      </c>
    </row>
    <row r="10" spans="1:7" ht="15.75" thickBot="1" x14ac:dyDescent="0.3">
      <c r="A10" s="56"/>
      <c r="B10" s="50" t="s">
        <v>71</v>
      </c>
      <c r="C10" s="50">
        <v>2</v>
      </c>
      <c r="D10" s="51">
        <v>1380</v>
      </c>
      <c r="E10" s="57"/>
      <c r="F10" s="58"/>
      <c r="G10" s="59"/>
    </row>
    <row r="11" spans="1:7" ht="15.75" thickBot="1" x14ac:dyDescent="0.3">
      <c r="A11" s="49" t="s">
        <v>73</v>
      </c>
      <c r="B11" s="50" t="s">
        <v>70</v>
      </c>
      <c r="C11" s="50">
        <v>1</v>
      </c>
      <c r="D11" s="51">
        <v>785</v>
      </c>
      <c r="E11" s="52">
        <f>SUM(D11:D12)</f>
        <v>2185</v>
      </c>
      <c r="F11" s="42">
        <f t="shared" si="0"/>
        <v>26220</v>
      </c>
      <c r="G11" s="43">
        <f t="shared" si="1"/>
        <v>32405.297999999999</v>
      </c>
    </row>
    <row r="12" spans="1:7" ht="15.75" thickBot="1" x14ac:dyDescent="0.3">
      <c r="A12" s="56"/>
      <c r="B12" s="50" t="s">
        <v>71</v>
      </c>
      <c r="C12" s="50">
        <v>2</v>
      </c>
      <c r="D12" s="51">
        <v>1400</v>
      </c>
      <c r="E12" s="60"/>
      <c r="F12" s="54"/>
      <c r="G12" s="55"/>
    </row>
    <row r="13" spans="1:7" ht="15.75" thickBot="1" x14ac:dyDescent="0.3">
      <c r="A13" s="49" t="s">
        <v>74</v>
      </c>
      <c r="B13" s="50" t="s">
        <v>70</v>
      </c>
      <c r="C13" s="50">
        <v>1</v>
      </c>
      <c r="D13" s="51">
        <v>785</v>
      </c>
      <c r="E13" s="52">
        <f>SUM(D13:D14)</f>
        <v>2185</v>
      </c>
      <c r="F13" s="42">
        <f t="shared" si="0"/>
        <v>26220</v>
      </c>
      <c r="G13" s="43">
        <f t="shared" si="1"/>
        <v>32405.297999999999</v>
      </c>
    </row>
    <row r="14" spans="1:7" ht="15.75" thickBot="1" x14ac:dyDescent="0.3">
      <c r="A14" s="56"/>
      <c r="B14" s="50" t="s">
        <v>71</v>
      </c>
      <c r="C14" s="50">
        <v>2</v>
      </c>
      <c r="D14" s="51">
        <v>1400</v>
      </c>
      <c r="E14" s="57"/>
      <c r="F14" s="58"/>
      <c r="G14" s="59"/>
    </row>
    <row r="15" spans="1:7" ht="15.75" thickBot="1" x14ac:dyDescent="0.3">
      <c r="A15" s="49" t="s">
        <v>75</v>
      </c>
      <c r="B15" s="50" t="s">
        <v>70</v>
      </c>
      <c r="C15" s="50">
        <v>1</v>
      </c>
      <c r="D15" s="51">
        <v>785</v>
      </c>
      <c r="E15" s="69">
        <f>SUM(D15:D18)</f>
        <v>2805</v>
      </c>
      <c r="F15" s="42">
        <f t="shared" si="0"/>
        <v>33660</v>
      </c>
      <c r="G15" s="43">
        <f t="shared" si="1"/>
        <v>41600.394</v>
      </c>
    </row>
    <row r="16" spans="1:7" ht="15.75" thickBot="1" x14ac:dyDescent="0.3">
      <c r="A16" s="56"/>
      <c r="B16" s="50" t="s">
        <v>71</v>
      </c>
      <c r="C16" s="50">
        <v>1</v>
      </c>
      <c r="D16" s="51">
        <v>715</v>
      </c>
      <c r="E16" s="60"/>
      <c r="F16" s="54"/>
      <c r="G16" s="55"/>
    </row>
    <row r="17" spans="1:7" ht="15.75" thickBot="1" x14ac:dyDescent="0.3">
      <c r="A17" s="56"/>
      <c r="B17" s="50" t="s">
        <v>71</v>
      </c>
      <c r="C17" s="50">
        <v>1</v>
      </c>
      <c r="D17" s="51">
        <v>685</v>
      </c>
      <c r="E17" s="57"/>
      <c r="F17" s="58"/>
      <c r="G17" s="59"/>
    </row>
    <row r="18" spans="1:7" ht="26.25" thickBot="1" x14ac:dyDescent="0.3">
      <c r="A18" s="56" t="s">
        <v>93</v>
      </c>
      <c r="B18" s="50" t="s">
        <v>79</v>
      </c>
      <c r="C18" s="50">
        <v>1</v>
      </c>
      <c r="D18" s="51">
        <v>620</v>
      </c>
      <c r="E18" s="60"/>
      <c r="F18" s="54"/>
      <c r="G18" s="55"/>
    </row>
    <row r="19" spans="1:7" ht="15.75" thickBot="1" x14ac:dyDescent="0.3">
      <c r="A19" s="49" t="s">
        <v>76</v>
      </c>
      <c r="B19" s="50" t="s">
        <v>70</v>
      </c>
      <c r="C19" s="50">
        <v>1</v>
      </c>
      <c r="D19" s="51">
        <v>785</v>
      </c>
      <c r="E19" s="52">
        <f>SUM(D19:D20)</f>
        <v>1485</v>
      </c>
      <c r="F19" s="42">
        <f t="shared" si="0"/>
        <v>17820</v>
      </c>
      <c r="G19" s="43">
        <f t="shared" si="1"/>
        <v>22023.738000000001</v>
      </c>
    </row>
    <row r="20" spans="1:7" ht="15.75" thickBot="1" x14ac:dyDescent="0.3">
      <c r="A20" s="56"/>
      <c r="B20" s="50" t="s">
        <v>71</v>
      </c>
      <c r="C20" s="50">
        <v>1</v>
      </c>
      <c r="D20" s="51">
        <v>700</v>
      </c>
      <c r="E20" s="57"/>
      <c r="F20" s="58"/>
      <c r="G20" s="59"/>
    </row>
    <row r="21" spans="1:7" ht="15.75" thickBot="1" x14ac:dyDescent="0.3">
      <c r="A21" s="49" t="s">
        <v>77</v>
      </c>
      <c r="B21" s="50" t="s">
        <v>70</v>
      </c>
      <c r="C21" s="50">
        <v>1</v>
      </c>
      <c r="D21" s="51">
        <v>785</v>
      </c>
      <c r="E21" s="52">
        <f>SUM(D21:D22)</f>
        <v>1485</v>
      </c>
      <c r="F21" s="42">
        <f t="shared" si="0"/>
        <v>17820</v>
      </c>
      <c r="G21" s="43">
        <f t="shared" si="1"/>
        <v>22023.738000000001</v>
      </c>
    </row>
    <row r="22" spans="1:7" ht="15.75" thickBot="1" x14ac:dyDescent="0.3">
      <c r="A22" s="56"/>
      <c r="B22" s="50" t="s">
        <v>71</v>
      </c>
      <c r="C22" s="50">
        <v>1</v>
      </c>
      <c r="D22" s="51">
        <v>700</v>
      </c>
      <c r="E22" s="57"/>
      <c r="F22" s="58"/>
      <c r="G22" s="59"/>
    </row>
    <row r="23" spans="1:7" ht="15.75" thickBot="1" x14ac:dyDescent="0.3">
      <c r="A23" s="49" t="s">
        <v>78</v>
      </c>
      <c r="B23" s="50" t="s">
        <v>70</v>
      </c>
      <c r="C23" s="50">
        <v>1</v>
      </c>
      <c r="D23" s="51">
        <v>785</v>
      </c>
      <c r="E23" s="52">
        <f>SUM(D23:D24)</f>
        <v>1405</v>
      </c>
      <c r="F23" s="42">
        <f t="shared" si="0"/>
        <v>16860</v>
      </c>
      <c r="G23" s="43">
        <f t="shared" si="1"/>
        <v>20837.274000000001</v>
      </c>
    </row>
    <row r="24" spans="1:7" ht="26.25" thickBot="1" x14ac:dyDescent="0.3">
      <c r="A24" s="56"/>
      <c r="B24" s="50" t="s">
        <v>79</v>
      </c>
      <c r="C24" s="50">
        <v>1</v>
      </c>
      <c r="D24" s="51">
        <v>620</v>
      </c>
      <c r="E24" s="57"/>
      <c r="F24" s="58"/>
      <c r="G24" s="59"/>
    </row>
    <row r="25" spans="1:7" ht="15.75" thickBot="1" x14ac:dyDescent="0.3">
      <c r="A25" s="49" t="s">
        <v>80</v>
      </c>
      <c r="B25" s="50" t="s">
        <v>70</v>
      </c>
      <c r="C25" s="50">
        <v>1</v>
      </c>
      <c r="D25" s="51">
        <v>785</v>
      </c>
      <c r="E25" s="53">
        <f>SUM(D25:D26)</f>
        <v>2185</v>
      </c>
      <c r="F25" s="42">
        <f t="shared" si="0"/>
        <v>26220</v>
      </c>
      <c r="G25" s="43">
        <f t="shared" si="1"/>
        <v>32405.297999999999</v>
      </c>
    </row>
    <row r="26" spans="1:7" x14ac:dyDescent="0.25">
      <c r="A26" s="61"/>
      <c r="B26" s="62" t="s">
        <v>71</v>
      </c>
      <c r="C26" s="63">
        <v>2</v>
      </c>
      <c r="D26" s="64">
        <v>1400</v>
      </c>
      <c r="E26" s="60"/>
      <c r="F26" s="54"/>
      <c r="G26" s="55"/>
    </row>
    <row r="27" spans="1:7" ht="15.75" thickBot="1" x14ac:dyDescent="0.3">
      <c r="A27" s="65" t="s">
        <v>81</v>
      </c>
      <c r="B27" s="50" t="s">
        <v>70</v>
      </c>
      <c r="C27" s="50">
        <v>1</v>
      </c>
      <c r="D27" s="51">
        <v>785</v>
      </c>
      <c r="E27" s="52">
        <f>SUM(D27:D28)</f>
        <v>1135</v>
      </c>
      <c r="F27" s="42">
        <f t="shared" ref="F27" si="2">E27*12</f>
        <v>13620</v>
      </c>
      <c r="G27" s="43">
        <f t="shared" ref="G27" si="3">F27*1.2359</f>
        <v>16832.957999999999</v>
      </c>
    </row>
    <row r="28" spans="1:7" ht="15.75" thickBot="1" x14ac:dyDescent="0.3">
      <c r="A28" s="56"/>
      <c r="B28" s="62" t="s">
        <v>71</v>
      </c>
      <c r="C28" s="50">
        <v>0.5</v>
      </c>
      <c r="D28" s="51">
        <v>350</v>
      </c>
      <c r="E28" s="66"/>
      <c r="F28" s="58"/>
      <c r="G28" s="59"/>
    </row>
    <row r="29" spans="1:7" ht="15.75" thickBot="1" x14ac:dyDescent="0.3">
      <c r="A29" s="49" t="s">
        <v>82</v>
      </c>
      <c r="B29" s="50" t="s">
        <v>70</v>
      </c>
      <c r="C29" s="50">
        <v>1</v>
      </c>
      <c r="D29" s="51">
        <v>785</v>
      </c>
      <c r="E29" s="53">
        <f>SUM(D29:D30)</f>
        <v>1485</v>
      </c>
      <c r="F29" s="42">
        <f t="shared" ref="F29" si="4">E29*12</f>
        <v>17820</v>
      </c>
      <c r="G29" s="43">
        <f t="shared" ref="G29" si="5">F29*1.2359</f>
        <v>22023.738000000001</v>
      </c>
    </row>
    <row r="30" spans="1:7" ht="15.75" thickBot="1" x14ac:dyDescent="0.3">
      <c r="A30" s="56"/>
      <c r="B30" s="62" t="s">
        <v>71</v>
      </c>
      <c r="C30" s="50">
        <v>1</v>
      </c>
      <c r="D30" s="51">
        <v>700</v>
      </c>
      <c r="E30" s="66"/>
      <c r="F30" s="58"/>
      <c r="G30" s="59"/>
    </row>
    <row r="31" spans="1:7" ht="15.75" thickBot="1" x14ac:dyDescent="0.3">
      <c r="A31" s="49" t="s">
        <v>39</v>
      </c>
      <c r="B31" s="50" t="s">
        <v>70</v>
      </c>
      <c r="C31" s="50">
        <v>1</v>
      </c>
      <c r="D31" s="51">
        <v>1068</v>
      </c>
      <c r="E31" s="53">
        <f>SUM(D31:D33)</f>
        <v>5568</v>
      </c>
      <c r="F31" s="42">
        <f t="shared" ref="F31" si="6">E31*12</f>
        <v>66816</v>
      </c>
      <c r="G31" s="43">
        <f t="shared" ref="G31" si="7">F31*1.2359</f>
        <v>82577.894400000005</v>
      </c>
    </row>
    <row r="32" spans="1:7" ht="15.75" thickBot="1" x14ac:dyDescent="0.3">
      <c r="A32" s="56"/>
      <c r="B32" s="62" t="s">
        <v>71</v>
      </c>
      <c r="C32" s="50">
        <v>2</v>
      </c>
      <c r="D32" s="51">
        <v>1400</v>
      </c>
      <c r="E32" s="53"/>
      <c r="F32" s="54"/>
      <c r="G32" s="55"/>
    </row>
    <row r="33" spans="1:7" ht="26.25" thickBot="1" x14ac:dyDescent="0.3">
      <c r="A33" s="56"/>
      <c r="B33" s="50" t="s">
        <v>79</v>
      </c>
      <c r="C33" s="50">
        <v>5</v>
      </c>
      <c r="D33" s="51">
        <v>3100</v>
      </c>
      <c r="E33" s="66"/>
      <c r="F33" s="58"/>
      <c r="G33" s="59"/>
    </row>
    <row r="34" spans="1:7" ht="15.75" thickBot="1" x14ac:dyDescent="0.3">
      <c r="A34" s="49" t="s">
        <v>83</v>
      </c>
      <c r="B34" s="50" t="s">
        <v>70</v>
      </c>
      <c r="C34" s="50">
        <v>2</v>
      </c>
      <c r="D34" s="51">
        <v>1570</v>
      </c>
      <c r="E34" s="53">
        <f>SUM(D34:D35)</f>
        <v>2190</v>
      </c>
      <c r="F34" s="42">
        <f t="shared" ref="F34" si="8">E34*12</f>
        <v>26280</v>
      </c>
      <c r="G34" s="43">
        <f t="shared" ref="G34" si="9">F34*1.2359</f>
        <v>32479.452000000001</v>
      </c>
    </row>
    <row r="35" spans="1:7" ht="26.25" thickBot="1" x14ac:dyDescent="0.3">
      <c r="A35" s="56"/>
      <c r="B35" s="50" t="s">
        <v>79</v>
      </c>
      <c r="C35" s="50">
        <v>1</v>
      </c>
      <c r="D35" s="51">
        <v>620</v>
      </c>
      <c r="E35" s="66"/>
      <c r="F35" s="58"/>
      <c r="G35" s="59"/>
    </row>
    <row r="36" spans="1:7" ht="15.75" thickBot="1" x14ac:dyDescent="0.3">
      <c r="A36" s="49" t="s">
        <v>84</v>
      </c>
      <c r="B36" s="50" t="s">
        <v>70</v>
      </c>
      <c r="C36" s="50">
        <v>1</v>
      </c>
      <c r="D36" s="51">
        <v>785</v>
      </c>
      <c r="E36" s="53">
        <f>SUM(D36:D37)</f>
        <v>1405</v>
      </c>
      <c r="F36" s="42">
        <f t="shared" ref="F36" si="10">E36*12</f>
        <v>16860</v>
      </c>
      <c r="G36" s="43">
        <f t="shared" ref="G36" si="11">F36*1.2359</f>
        <v>20837.274000000001</v>
      </c>
    </row>
    <row r="37" spans="1:7" ht="26.25" thickBot="1" x14ac:dyDescent="0.3">
      <c r="A37" s="56"/>
      <c r="B37" s="50" t="s">
        <v>79</v>
      </c>
      <c r="C37" s="50">
        <v>1</v>
      </c>
      <c r="D37" s="51">
        <v>620</v>
      </c>
      <c r="E37" s="66"/>
      <c r="F37" s="58"/>
      <c r="G37" s="59"/>
    </row>
    <row r="38" spans="1:7" ht="15.75" thickBot="1" x14ac:dyDescent="0.3">
      <c r="A38" s="49" t="s">
        <v>85</v>
      </c>
      <c r="B38" s="50" t="s">
        <v>70</v>
      </c>
      <c r="C38" s="50">
        <v>1</v>
      </c>
      <c r="D38" s="51">
        <v>785</v>
      </c>
      <c r="E38" s="53">
        <f>SUM(D38:D40)</f>
        <v>3425</v>
      </c>
      <c r="F38" s="54">
        <f t="shared" ref="F38" si="12">E38*12</f>
        <v>41100</v>
      </c>
      <c r="G38" s="55">
        <f t="shared" ref="G38" si="13">F38*1.2359</f>
        <v>50795.49</v>
      </c>
    </row>
    <row r="39" spans="1:7" ht="15.75" thickBot="1" x14ac:dyDescent="0.3">
      <c r="A39" s="56"/>
      <c r="B39" s="62" t="s">
        <v>71</v>
      </c>
      <c r="C39" s="50">
        <v>2</v>
      </c>
      <c r="D39" s="51">
        <v>1400</v>
      </c>
      <c r="E39" s="53"/>
      <c r="F39" s="54"/>
      <c r="G39" s="55"/>
    </row>
    <row r="40" spans="1:7" ht="26.25" thickBot="1" x14ac:dyDescent="0.3">
      <c r="A40" s="56"/>
      <c r="B40" s="50" t="s">
        <v>79</v>
      </c>
      <c r="C40" s="50">
        <v>2</v>
      </c>
      <c r="D40" s="51">
        <v>1240</v>
      </c>
      <c r="E40" s="57"/>
      <c r="F40" s="54"/>
      <c r="G40" s="55"/>
    </row>
    <row r="41" spans="1:7" ht="15.75" thickBot="1" x14ac:dyDescent="0.3">
      <c r="A41" s="49" t="s">
        <v>40</v>
      </c>
      <c r="B41" s="50" t="s">
        <v>70</v>
      </c>
      <c r="C41" s="50">
        <v>1</v>
      </c>
      <c r="D41" s="51">
        <v>785</v>
      </c>
      <c r="E41" s="53">
        <f>SUM(D41:D42)</f>
        <v>2185</v>
      </c>
      <c r="F41" s="42">
        <f t="shared" ref="F41" si="14">E41*12</f>
        <v>26220</v>
      </c>
      <c r="G41" s="43">
        <f t="shared" ref="G41" si="15">F41*1.2359</f>
        <v>32405.297999999999</v>
      </c>
    </row>
    <row r="42" spans="1:7" ht="15.75" thickBot="1" x14ac:dyDescent="0.3">
      <c r="A42" s="56"/>
      <c r="B42" s="62" t="s">
        <v>71</v>
      </c>
      <c r="C42" s="50">
        <v>2</v>
      </c>
      <c r="D42" s="51">
        <v>1400</v>
      </c>
      <c r="E42" s="60"/>
      <c r="F42" s="54"/>
      <c r="G42" s="55"/>
    </row>
    <row r="43" spans="1:7" ht="15.75" thickBot="1" x14ac:dyDescent="0.3">
      <c r="A43" s="49" t="s">
        <v>86</v>
      </c>
      <c r="B43" s="50" t="s">
        <v>70</v>
      </c>
      <c r="C43" s="50">
        <v>1</v>
      </c>
      <c r="D43" s="51">
        <v>785</v>
      </c>
      <c r="E43" s="52">
        <f>SUM(D43:D44)</f>
        <v>1485</v>
      </c>
      <c r="F43" s="42">
        <f t="shared" si="0"/>
        <v>17820</v>
      </c>
      <c r="G43" s="43">
        <f t="shared" si="1"/>
        <v>22023.738000000001</v>
      </c>
    </row>
    <row r="44" spans="1:7" ht="15.75" thickBot="1" x14ac:dyDescent="0.3">
      <c r="A44" s="56"/>
      <c r="B44" s="62" t="s">
        <v>71</v>
      </c>
      <c r="C44" s="50">
        <v>1</v>
      </c>
      <c r="D44" s="51">
        <v>700</v>
      </c>
      <c r="E44" s="57"/>
      <c r="F44" s="58"/>
      <c r="G44" s="59"/>
    </row>
    <row r="45" spans="1:7" ht="15.75" thickBot="1" x14ac:dyDescent="0.3">
      <c r="A45" s="49" t="s">
        <v>87</v>
      </c>
      <c r="B45" s="50" t="s">
        <v>70</v>
      </c>
      <c r="C45" s="50">
        <v>1</v>
      </c>
      <c r="D45" s="51">
        <v>785</v>
      </c>
      <c r="E45" s="52">
        <f>SUM(D45:D46)</f>
        <v>1485</v>
      </c>
      <c r="F45" s="42">
        <f t="shared" si="0"/>
        <v>17820</v>
      </c>
      <c r="G45" s="43">
        <f t="shared" si="1"/>
        <v>22023.738000000001</v>
      </c>
    </row>
    <row r="46" spans="1:7" ht="15.75" thickBot="1" x14ac:dyDescent="0.3">
      <c r="A46" s="56"/>
      <c r="B46" s="50" t="s">
        <v>71</v>
      </c>
      <c r="C46" s="50">
        <v>1</v>
      </c>
      <c r="D46" s="51">
        <v>700</v>
      </c>
      <c r="E46" s="57"/>
      <c r="F46" s="58"/>
      <c r="G46" s="59"/>
    </row>
    <row r="47" spans="1:7" ht="26.25" thickBot="1" x14ac:dyDescent="0.3">
      <c r="A47" s="49" t="s">
        <v>88</v>
      </c>
      <c r="B47" s="50" t="s">
        <v>70</v>
      </c>
      <c r="C47" s="50">
        <v>1</v>
      </c>
      <c r="D47" s="51">
        <v>785</v>
      </c>
      <c r="E47" s="52">
        <f>SUM(D47:D48)</f>
        <v>1485</v>
      </c>
      <c r="F47" s="42">
        <f t="shared" si="0"/>
        <v>17820</v>
      </c>
      <c r="G47" s="43">
        <f t="shared" si="1"/>
        <v>22023.738000000001</v>
      </c>
    </row>
    <row r="48" spans="1:7" ht="15.75" thickBot="1" x14ac:dyDescent="0.3">
      <c r="A48" s="56"/>
      <c r="B48" s="50" t="s">
        <v>71</v>
      </c>
      <c r="C48" s="50">
        <v>1</v>
      </c>
      <c r="D48" s="51">
        <v>700</v>
      </c>
      <c r="E48" s="57"/>
      <c r="F48" s="58"/>
      <c r="G48" s="59"/>
    </row>
    <row r="49" spans="1:7" ht="26.25" customHeight="1" thickBot="1" x14ac:dyDescent="0.3">
      <c r="A49" s="49" t="s">
        <v>89</v>
      </c>
      <c r="B49" s="50" t="s">
        <v>70</v>
      </c>
      <c r="C49" s="50">
        <v>1</v>
      </c>
      <c r="D49" s="51">
        <v>785</v>
      </c>
      <c r="E49" s="52">
        <f>SUM(D49:D51)</f>
        <v>2105</v>
      </c>
      <c r="F49" s="42">
        <f t="shared" si="0"/>
        <v>25260</v>
      </c>
      <c r="G49" s="43">
        <f t="shared" si="1"/>
        <v>31218.833999999999</v>
      </c>
    </row>
    <row r="50" spans="1:7" ht="15.75" thickBot="1" x14ac:dyDescent="0.3">
      <c r="A50" s="56"/>
      <c r="B50" s="50" t="s">
        <v>71</v>
      </c>
      <c r="C50" s="50">
        <v>1</v>
      </c>
      <c r="D50" s="51">
        <v>700</v>
      </c>
      <c r="E50" s="60"/>
      <c r="F50" s="54"/>
      <c r="G50" s="55"/>
    </row>
    <row r="51" spans="1:7" ht="26.25" thickBot="1" x14ac:dyDescent="0.3">
      <c r="A51" s="56"/>
      <c r="B51" s="50" t="s">
        <v>79</v>
      </c>
      <c r="C51" s="50">
        <v>1</v>
      </c>
      <c r="D51" s="51">
        <v>620</v>
      </c>
      <c r="E51" s="60"/>
      <c r="F51" s="58"/>
      <c r="G51" s="59"/>
    </row>
    <row r="52" spans="1:7" ht="26.25" thickBot="1" x14ac:dyDescent="0.3">
      <c r="A52" s="49" t="s">
        <v>90</v>
      </c>
      <c r="B52" s="50" t="s">
        <v>71</v>
      </c>
      <c r="C52" s="50">
        <v>2</v>
      </c>
      <c r="D52" s="51">
        <v>1240</v>
      </c>
      <c r="E52" s="52">
        <f>SUM(D52:D53)</f>
        <v>1860</v>
      </c>
      <c r="F52" s="42">
        <f t="shared" si="0"/>
        <v>22320</v>
      </c>
      <c r="G52" s="43">
        <f t="shared" si="1"/>
        <v>27585.288</v>
      </c>
    </row>
    <row r="53" spans="1:7" ht="26.25" thickBot="1" x14ac:dyDescent="0.3">
      <c r="A53" s="56"/>
      <c r="B53" s="50" t="s">
        <v>79</v>
      </c>
      <c r="C53" s="50">
        <v>1</v>
      </c>
      <c r="D53" s="51">
        <v>620</v>
      </c>
      <c r="E53" s="60"/>
      <c r="F53" s="58"/>
      <c r="G53" s="59"/>
    </row>
    <row r="54" spans="1:7" ht="15.75" thickBot="1" x14ac:dyDescent="0.3">
      <c r="A54" s="49" t="s">
        <v>50</v>
      </c>
      <c r="B54" s="50" t="s">
        <v>70</v>
      </c>
      <c r="C54" s="50">
        <v>1</v>
      </c>
      <c r="D54" s="51">
        <v>996</v>
      </c>
      <c r="E54" s="52">
        <f>SUM(D54:D56)</f>
        <v>3966</v>
      </c>
      <c r="F54" s="42">
        <f t="shared" si="0"/>
        <v>47592</v>
      </c>
      <c r="G54" s="43">
        <f t="shared" si="1"/>
        <v>58818.952799999999</v>
      </c>
    </row>
    <row r="55" spans="1:7" ht="26.25" thickBot="1" x14ac:dyDescent="0.3">
      <c r="A55" s="56"/>
      <c r="B55" s="50" t="s">
        <v>91</v>
      </c>
      <c r="C55" s="50">
        <v>1</v>
      </c>
      <c r="D55" s="51">
        <v>870</v>
      </c>
      <c r="E55" s="60"/>
      <c r="F55" s="54"/>
      <c r="G55" s="55"/>
    </row>
    <row r="56" spans="1:7" ht="15.75" thickBot="1" x14ac:dyDescent="0.3">
      <c r="A56" s="56"/>
      <c r="B56" s="50" t="s">
        <v>71</v>
      </c>
      <c r="C56" s="50">
        <v>3</v>
      </c>
      <c r="D56" s="51">
        <v>2100</v>
      </c>
      <c r="E56" s="57"/>
      <c r="F56" s="67"/>
      <c r="G56" s="59"/>
    </row>
    <row r="57" spans="1:7" x14ac:dyDescent="0.25">
      <c r="A57" s="38"/>
      <c r="B57" s="38"/>
      <c r="C57" s="38"/>
      <c r="D57" s="38"/>
      <c r="E57" s="38"/>
      <c r="F57" s="38"/>
    </row>
    <row r="58" spans="1:7" x14ac:dyDescent="0.25">
      <c r="A58" s="38"/>
      <c r="B58" s="38"/>
      <c r="C58" s="38"/>
      <c r="D58" s="38"/>
      <c r="E58" s="38"/>
      <c r="F58" s="38"/>
    </row>
    <row r="59" spans="1:7" x14ac:dyDescent="0.25">
      <c r="A59" s="38"/>
      <c r="B59" s="38"/>
      <c r="C59" s="38"/>
      <c r="D59" s="38"/>
      <c r="E59" s="38"/>
      <c r="F59" s="38"/>
    </row>
    <row r="60" spans="1:7" x14ac:dyDescent="0.25">
      <c r="A60" s="38"/>
      <c r="B60" s="38"/>
      <c r="C60" s="38"/>
      <c r="D60" s="38"/>
      <c r="E60" s="38"/>
      <c r="F60" s="38"/>
    </row>
    <row r="61" spans="1:7" x14ac:dyDescent="0.25">
      <c r="A61" s="38"/>
      <c r="B61" s="38"/>
      <c r="C61" s="38"/>
      <c r="D61" s="38"/>
      <c r="E61" s="38"/>
      <c r="F61" s="38"/>
    </row>
    <row r="62" spans="1:7" x14ac:dyDescent="0.25">
      <c r="A62" s="38"/>
      <c r="B62" s="38"/>
      <c r="C62" s="38"/>
      <c r="D62" s="38"/>
      <c r="E62" s="38"/>
      <c r="F62" s="38"/>
    </row>
    <row r="63" spans="1:7" x14ac:dyDescent="0.25">
      <c r="A63" s="38"/>
      <c r="B63" s="38"/>
      <c r="C63" s="38"/>
      <c r="D63" s="38"/>
      <c r="E63" s="38"/>
      <c r="F63" s="38"/>
    </row>
    <row r="64" spans="1:7" x14ac:dyDescent="0.25">
      <c r="A64" s="38"/>
      <c r="B64" s="38"/>
      <c r="C64" s="38"/>
      <c r="D64" s="38"/>
      <c r="E64" s="38"/>
      <c r="F64" s="38"/>
    </row>
    <row r="65" spans="1:6" x14ac:dyDescent="0.25">
      <c r="A65" s="38"/>
      <c r="B65" s="38"/>
      <c r="C65" s="38"/>
      <c r="D65" s="38"/>
      <c r="E65" s="38"/>
      <c r="F65" s="38"/>
    </row>
    <row r="66" spans="1:6" ht="15.75" x14ac:dyDescent="0.25">
      <c r="A66" s="68"/>
      <c r="B66" s="68"/>
      <c r="C66" s="68"/>
      <c r="D66" s="68"/>
      <c r="E66" s="68"/>
      <c r="F66" s="68"/>
    </row>
    <row r="67" spans="1:6" ht="15.75" x14ac:dyDescent="0.25">
      <c r="A67" s="68"/>
      <c r="B67" s="68"/>
      <c r="C67" s="68"/>
      <c r="D67" s="68"/>
      <c r="E67" s="68"/>
      <c r="F67" s="68"/>
    </row>
    <row r="68" spans="1:6" ht="15.75" x14ac:dyDescent="0.25">
      <c r="A68" s="68"/>
      <c r="B68" s="68"/>
      <c r="C68" s="68"/>
      <c r="D68" s="68"/>
      <c r="E68" s="68"/>
      <c r="F68" s="68"/>
    </row>
  </sheetData>
  <mergeCells count="3">
    <mergeCell ref="A4:A5"/>
    <mergeCell ref="B4:B5"/>
    <mergeCell ref="C4:C5"/>
  </mergeCells>
  <pageMargins left="0.49" right="0.18" top="0.46" bottom="0.4" header="0.3" footer="0.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7"/>
  <sheetViews>
    <sheetView tabSelected="1" workbookViewId="0">
      <selection activeCell="U7" sqref="U7"/>
    </sheetView>
  </sheetViews>
  <sheetFormatPr defaultRowHeight="15" x14ac:dyDescent="0.25"/>
  <cols>
    <col min="1" max="1" width="24.140625" customWidth="1"/>
    <col min="2" max="2" width="7.140625" customWidth="1"/>
    <col min="3" max="3" width="10.28515625" customWidth="1"/>
    <col min="4" max="4" width="9.5703125" customWidth="1"/>
    <col min="5" max="5" width="11.140625" customWidth="1"/>
    <col min="6" max="6" width="9.5703125" customWidth="1"/>
    <col min="7" max="7" width="9.85546875" customWidth="1"/>
    <col min="8" max="8" width="9.5703125" customWidth="1"/>
    <col min="9" max="9" width="10.5703125" customWidth="1"/>
    <col min="10" max="11" width="9.140625" customWidth="1"/>
    <col min="12" max="12" width="9.5703125" customWidth="1"/>
    <col min="13" max="13" width="9.140625" customWidth="1"/>
    <col min="14" max="14" width="10.5703125" customWidth="1"/>
    <col min="15" max="15" width="8.5703125" customWidth="1"/>
    <col min="16" max="16" width="14.42578125" customWidth="1"/>
    <col min="17" max="17" width="8.5703125" bestFit="1" customWidth="1"/>
    <col min="18" max="18" width="10.5703125" bestFit="1" customWidth="1"/>
    <col min="19" max="19" width="10.28515625" customWidth="1"/>
    <col min="20" max="20" width="8.85546875" bestFit="1" customWidth="1"/>
    <col min="21" max="21" width="10" bestFit="1" customWidth="1"/>
    <col min="22" max="22" width="10.140625" customWidth="1"/>
    <col min="24" max="24" width="9.85546875" customWidth="1"/>
  </cols>
  <sheetData>
    <row r="1" spans="1:24" ht="0.75" customHeight="1" x14ac:dyDescent="0.25"/>
    <row r="2" spans="1:24" ht="28.5" hidden="1" customHeight="1" x14ac:dyDescent="0.25">
      <c r="C2" s="1" t="s">
        <v>59</v>
      </c>
    </row>
    <row r="3" spans="1:24" ht="24" hidden="1" customHeight="1" x14ac:dyDescent="0.25"/>
    <row r="4" spans="1:24" hidden="1" x14ac:dyDescent="0.25">
      <c r="B4" s="1" t="s">
        <v>60</v>
      </c>
      <c r="M4" s="1" t="s">
        <v>2</v>
      </c>
    </row>
    <row r="5" spans="1:24" hidden="1" x14ac:dyDescent="0.25">
      <c r="A5" t="s">
        <v>3</v>
      </c>
      <c r="B5">
        <v>6444.67</v>
      </c>
      <c r="C5" t="s">
        <v>4</v>
      </c>
      <c r="Q5" s="2"/>
    </row>
    <row r="6" spans="1:24" s="6" customFormat="1" ht="60" x14ac:dyDescent="0.25">
      <c r="A6" s="3" t="s">
        <v>6</v>
      </c>
      <c r="B6" s="3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3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78" t="s">
        <v>17</v>
      </c>
      <c r="M6" s="4" t="s">
        <v>18</v>
      </c>
      <c r="N6" s="4" t="s">
        <v>19</v>
      </c>
      <c r="O6" s="79" t="s">
        <v>97</v>
      </c>
      <c r="P6" s="79" t="s">
        <v>21</v>
      </c>
      <c r="Q6" s="4" t="s">
        <v>22</v>
      </c>
      <c r="R6" s="5" t="s">
        <v>23</v>
      </c>
      <c r="S6" s="78" t="s">
        <v>94</v>
      </c>
      <c r="T6" s="3" t="s">
        <v>25</v>
      </c>
      <c r="U6" s="3" t="s">
        <v>117</v>
      </c>
      <c r="V6" s="3" t="s">
        <v>118</v>
      </c>
      <c r="W6" s="3" t="s">
        <v>99</v>
      </c>
      <c r="X6" s="3" t="s">
        <v>105</v>
      </c>
    </row>
    <row r="7" spans="1:24" x14ac:dyDescent="0.25">
      <c r="A7" s="7" t="s">
        <v>26</v>
      </c>
      <c r="B7" s="8">
        <v>681</v>
      </c>
      <c r="C7" s="8">
        <v>29</v>
      </c>
      <c r="D7" s="9">
        <v>23000</v>
      </c>
      <c r="E7" s="9">
        <v>3000</v>
      </c>
      <c r="F7" s="9">
        <v>10000</v>
      </c>
      <c r="G7" s="9">
        <v>800</v>
      </c>
      <c r="H7" s="9"/>
      <c r="I7" s="9">
        <f>SUM(D7:H7)</f>
        <v>36800</v>
      </c>
      <c r="J7" s="10">
        <f>SUM(I7/B7)</f>
        <v>54.038179148311308</v>
      </c>
      <c r="K7" s="11">
        <f>SUM(C7*J7)</f>
        <v>1567.107195301028</v>
      </c>
      <c r="L7" s="23">
        <v>32405</v>
      </c>
      <c r="M7" s="9">
        <v>350</v>
      </c>
      <c r="N7" s="9">
        <v>25000</v>
      </c>
      <c r="O7" s="23"/>
      <c r="P7" s="23">
        <v>111.69</v>
      </c>
      <c r="Q7" s="19">
        <f t="shared" ref="Q7:Q19" si="0">SUM(N7/233/S7)/0.65</f>
        <v>1.9888069942364373</v>
      </c>
      <c r="R7" s="11">
        <f>SUM(K7:P7)</f>
        <v>59433.797195301027</v>
      </c>
      <c r="S7" s="7">
        <f>73+10</f>
        <v>83</v>
      </c>
      <c r="T7" s="19">
        <f t="shared" ref="T7:T19" si="1">SUM(R7/233/S7)/0.65</f>
        <v>4.7280940622417855</v>
      </c>
      <c r="U7" s="12">
        <f>SUM(V7*1.7)</f>
        <v>3.215103962324414</v>
      </c>
      <c r="V7" s="10">
        <f>SUM(T7/5*2)</f>
        <v>1.8912376248967142</v>
      </c>
      <c r="W7" s="9" t="s">
        <v>106</v>
      </c>
      <c r="X7" s="9">
        <v>0.94</v>
      </c>
    </row>
    <row r="8" spans="1:24" x14ac:dyDescent="0.25">
      <c r="A8" s="7" t="s">
        <v>27</v>
      </c>
      <c r="B8" s="9">
        <v>2222</v>
      </c>
      <c r="C8" s="9">
        <v>151</v>
      </c>
      <c r="D8" s="9">
        <v>44000</v>
      </c>
      <c r="E8" s="9">
        <v>8000</v>
      </c>
      <c r="F8" s="9">
        <v>30000</v>
      </c>
      <c r="G8" s="9">
        <v>800</v>
      </c>
      <c r="H8" s="9">
        <v>0</v>
      </c>
      <c r="I8" s="9">
        <f t="shared" ref="I8:I31" si="2">SUM(D8:H8)</f>
        <v>82800</v>
      </c>
      <c r="J8" s="10">
        <f t="shared" ref="J8:J31" si="3">SUM(I8/B8)</f>
        <v>37.263726372637265</v>
      </c>
      <c r="K8" s="11">
        <f t="shared" ref="K8:K31" si="4">SUM(C8*J8)</f>
        <v>5626.8226822682273</v>
      </c>
      <c r="L8" s="70">
        <v>64811</v>
      </c>
      <c r="M8" s="9">
        <v>800</v>
      </c>
      <c r="N8" s="9">
        <v>185417</v>
      </c>
      <c r="O8" s="23"/>
      <c r="P8" s="23">
        <v>3567.43</v>
      </c>
      <c r="Q8" s="19">
        <f t="shared" si="0"/>
        <v>2.0103097533910024</v>
      </c>
      <c r="R8" s="11">
        <f t="shared" ref="R8:R31" si="5">SUM(K8:P8)</f>
        <v>260222.25268226821</v>
      </c>
      <c r="S8" s="14">
        <f>231+36+342</f>
        <v>609</v>
      </c>
      <c r="T8" s="19">
        <f t="shared" si="1"/>
        <v>2.8213558229102067</v>
      </c>
      <c r="U8" s="10">
        <f>SUM(T8/2*1.7)+0.03</f>
        <v>2.4281524494736755</v>
      </c>
      <c r="V8" s="10">
        <f>SUM(T8/2)+0.01</f>
        <v>1.4206779114551034</v>
      </c>
      <c r="W8" s="9" t="s">
        <v>109</v>
      </c>
      <c r="X8" s="9"/>
    </row>
    <row r="9" spans="1:24" x14ac:dyDescent="0.25">
      <c r="A9" s="7" t="s">
        <v>28</v>
      </c>
      <c r="B9" s="9">
        <v>4328</v>
      </c>
      <c r="C9" s="9">
        <v>65.099999999999994</v>
      </c>
      <c r="D9" s="9">
        <v>70000</v>
      </c>
      <c r="E9" s="9">
        <v>8500</v>
      </c>
      <c r="F9" s="9">
        <v>31000</v>
      </c>
      <c r="G9" s="9">
        <v>2500</v>
      </c>
      <c r="H9" s="9"/>
      <c r="I9" s="9">
        <f t="shared" si="2"/>
        <v>112000</v>
      </c>
      <c r="J9" s="10">
        <f t="shared" si="3"/>
        <v>25.878003696857672</v>
      </c>
      <c r="K9" s="11">
        <f t="shared" si="4"/>
        <v>1684.6580406654343</v>
      </c>
      <c r="L9" s="23">
        <v>31960</v>
      </c>
      <c r="M9" s="9">
        <v>1000</v>
      </c>
      <c r="N9" s="9">
        <v>54000</v>
      </c>
      <c r="O9" s="23"/>
      <c r="P9" s="77">
        <v>463.8</v>
      </c>
      <c r="Q9" s="19">
        <f t="shared" si="0"/>
        <v>1.4494037314093839</v>
      </c>
      <c r="R9" s="11">
        <f t="shared" si="5"/>
        <v>89108.458040665442</v>
      </c>
      <c r="S9" s="7">
        <f>221+25</f>
        <v>246</v>
      </c>
      <c r="T9" s="19">
        <f t="shared" si="1"/>
        <v>2.3917431774866111</v>
      </c>
      <c r="U9" s="12">
        <f t="shared" ref="U9:U11" si="6">SUM(V9*1.7)</f>
        <v>2.0499817008636194</v>
      </c>
      <c r="V9" s="77">
        <f>SUM(T9/2)+0.01</f>
        <v>1.2058715887433056</v>
      </c>
      <c r="W9" s="23" t="s">
        <v>101</v>
      </c>
      <c r="X9" s="9"/>
    </row>
    <row r="10" spans="1:24" x14ac:dyDescent="0.25">
      <c r="A10" s="7" t="s">
        <v>29</v>
      </c>
      <c r="B10" s="9">
        <v>3390</v>
      </c>
      <c r="C10" s="9">
        <v>177.7</v>
      </c>
      <c r="D10" s="9">
        <v>35000</v>
      </c>
      <c r="E10" s="9">
        <v>6000</v>
      </c>
      <c r="F10" s="9">
        <v>14586</v>
      </c>
      <c r="G10" s="9">
        <v>1310</v>
      </c>
      <c r="H10" s="9"/>
      <c r="I10" s="9">
        <f t="shared" si="2"/>
        <v>56896</v>
      </c>
      <c r="J10" s="10">
        <f t="shared" si="3"/>
        <v>16.783480825958701</v>
      </c>
      <c r="K10" s="11">
        <f t="shared" si="4"/>
        <v>2982.4245427728611</v>
      </c>
      <c r="L10" s="23">
        <v>32405</v>
      </c>
      <c r="M10" s="9">
        <v>400</v>
      </c>
      <c r="N10" s="9">
        <v>55000</v>
      </c>
      <c r="O10" s="23">
        <v>2600</v>
      </c>
      <c r="P10" s="77">
        <v>2344.6999999999998</v>
      </c>
      <c r="Q10" s="19">
        <f>SUM(N10/233/S10)/0.65</f>
        <v>1.446837279472404</v>
      </c>
      <c r="R10" s="11">
        <f t="shared" si="5"/>
        <v>95732.124542772857</v>
      </c>
      <c r="S10" s="7">
        <f>217+34</f>
        <v>251</v>
      </c>
      <c r="T10" s="19">
        <f t="shared" si="1"/>
        <v>2.5183419387559791</v>
      </c>
      <c r="U10" s="12">
        <f t="shared" si="6"/>
        <v>2.1405906479425822</v>
      </c>
      <c r="V10" s="77">
        <f t="shared" ref="V10" si="7">SUM(T10/2)</f>
        <v>1.2591709693779896</v>
      </c>
      <c r="W10" s="23" t="s">
        <v>115</v>
      </c>
      <c r="X10" s="9"/>
    </row>
    <row r="11" spans="1:24" x14ac:dyDescent="0.25">
      <c r="A11" s="7" t="s">
        <v>30</v>
      </c>
      <c r="B11" s="9">
        <v>858</v>
      </c>
      <c r="C11" s="9">
        <v>54.8</v>
      </c>
      <c r="D11" s="9"/>
      <c r="E11" s="9">
        <v>2025</v>
      </c>
      <c r="F11" s="9">
        <v>10500</v>
      </c>
      <c r="G11" s="9">
        <v>500</v>
      </c>
      <c r="H11" s="9">
        <v>10000</v>
      </c>
      <c r="I11" s="9">
        <f t="shared" si="2"/>
        <v>23025</v>
      </c>
      <c r="J11" s="10">
        <f t="shared" si="3"/>
        <v>26.835664335664337</v>
      </c>
      <c r="K11" s="11">
        <f t="shared" si="4"/>
        <v>1470.5944055944055</v>
      </c>
      <c r="L11" s="23">
        <v>22024</v>
      </c>
      <c r="M11" s="9">
        <v>500</v>
      </c>
      <c r="N11" s="9">
        <v>21000</v>
      </c>
      <c r="O11" s="23"/>
      <c r="P11" s="77">
        <v>388.6</v>
      </c>
      <c r="Q11" s="19">
        <f t="shared" si="0"/>
        <v>1.6312896898607576</v>
      </c>
      <c r="R11" s="11">
        <f t="shared" si="5"/>
        <v>45383.194405594404</v>
      </c>
      <c r="S11" s="7">
        <f>67+18</f>
        <v>85</v>
      </c>
      <c r="T11" s="19">
        <f t="shared" si="1"/>
        <v>3.5253874822282176</v>
      </c>
      <c r="U11" s="12">
        <f t="shared" si="6"/>
        <v>3.0135793598939848</v>
      </c>
      <c r="V11" s="10">
        <f>SUM(T11/2)+0.01</f>
        <v>1.7726937411141088</v>
      </c>
      <c r="W11" s="9" t="s">
        <v>110</v>
      </c>
      <c r="X11" s="9"/>
    </row>
    <row r="12" spans="1:24" x14ac:dyDescent="0.25">
      <c r="A12" s="7" t="s">
        <v>31</v>
      </c>
      <c r="B12" s="9">
        <v>1569</v>
      </c>
      <c r="C12" s="9">
        <v>67</v>
      </c>
      <c r="D12" s="9">
        <v>60000</v>
      </c>
      <c r="E12" s="9">
        <v>3400</v>
      </c>
      <c r="F12" s="9">
        <v>11600</v>
      </c>
      <c r="G12" s="9">
        <v>800</v>
      </c>
      <c r="H12" s="9">
        <v>0</v>
      </c>
      <c r="I12" s="9">
        <f t="shared" si="2"/>
        <v>75800</v>
      </c>
      <c r="J12" s="10">
        <f t="shared" si="3"/>
        <v>48.311026131293815</v>
      </c>
      <c r="K12" s="11">
        <f t="shared" si="4"/>
        <v>3236.8387507966854</v>
      </c>
      <c r="L12" s="70">
        <v>41600</v>
      </c>
      <c r="M12" s="9">
        <v>450</v>
      </c>
      <c r="N12" s="9">
        <v>55675</v>
      </c>
      <c r="O12" s="23">
        <v>3500</v>
      </c>
      <c r="P12" s="77">
        <v>1652.9</v>
      </c>
      <c r="Q12" s="19">
        <f t="shared" si="0"/>
        <v>1.734023932177629</v>
      </c>
      <c r="R12" s="11">
        <f t="shared" si="5"/>
        <v>106114.73875079668</v>
      </c>
      <c r="S12" s="14">
        <f>76+136</f>
        <v>212</v>
      </c>
      <c r="T12" s="19">
        <f t="shared" si="1"/>
        <v>3.304993202526417</v>
      </c>
      <c r="U12" s="10">
        <f>SUM(T12/2*1.7)+0.03</f>
        <v>2.8392442221474541</v>
      </c>
      <c r="V12" s="10">
        <f>SUM(T12/2)+0.01</f>
        <v>1.6624966012632085</v>
      </c>
      <c r="W12" s="9" t="s">
        <v>100</v>
      </c>
      <c r="X12" s="9"/>
    </row>
    <row r="13" spans="1:24" x14ac:dyDescent="0.25">
      <c r="A13" s="7" t="s">
        <v>32</v>
      </c>
      <c r="B13" s="9">
        <v>934</v>
      </c>
      <c r="C13" s="9">
        <v>52.6</v>
      </c>
      <c r="D13" s="9">
        <v>24000</v>
      </c>
      <c r="E13" s="9">
        <v>3030</v>
      </c>
      <c r="F13" s="9">
        <v>14600</v>
      </c>
      <c r="G13" s="9">
        <v>700</v>
      </c>
      <c r="H13" s="9"/>
      <c r="I13" s="9">
        <f t="shared" si="2"/>
        <v>42330</v>
      </c>
      <c r="J13" s="10">
        <f t="shared" si="3"/>
        <v>45.321199143468952</v>
      </c>
      <c r="K13" s="11">
        <f t="shared" si="4"/>
        <v>2383.895074946467</v>
      </c>
      <c r="L13" s="23">
        <v>22024</v>
      </c>
      <c r="M13" s="9">
        <v>300</v>
      </c>
      <c r="N13" s="9">
        <v>25700</v>
      </c>
      <c r="O13" s="23">
        <v>3700</v>
      </c>
      <c r="P13" s="77">
        <v>237.6</v>
      </c>
      <c r="Q13" s="19">
        <f t="shared" si="0"/>
        <v>2.0694264387345092</v>
      </c>
      <c r="R13" s="11">
        <f t="shared" si="5"/>
        <v>54345.49507494647</v>
      </c>
      <c r="S13" s="7">
        <f>78+4</f>
        <v>82</v>
      </c>
      <c r="T13" s="19">
        <f t="shared" si="1"/>
        <v>4.376031297050984</v>
      </c>
      <c r="U13" s="12">
        <f t="shared" ref="U13:U18" si="8">SUM(V13*1.7)</f>
        <v>3.7366266024933359</v>
      </c>
      <c r="V13" s="10">
        <f>SUM(T13/2)+0.01</f>
        <v>2.1980156485254918</v>
      </c>
      <c r="W13" s="9" t="s">
        <v>111</v>
      </c>
      <c r="X13" s="9"/>
    </row>
    <row r="14" spans="1:24" x14ac:dyDescent="0.25">
      <c r="A14" s="7" t="s">
        <v>33</v>
      </c>
      <c r="B14" s="16">
        <v>2806</v>
      </c>
      <c r="C14" s="16">
        <v>221.1</v>
      </c>
      <c r="D14" s="9">
        <v>37000</v>
      </c>
      <c r="E14" s="9">
        <v>4000</v>
      </c>
      <c r="F14" s="9">
        <v>23000</v>
      </c>
      <c r="G14" s="9">
        <v>2500</v>
      </c>
      <c r="H14" s="9"/>
      <c r="I14" s="9">
        <f t="shared" si="2"/>
        <v>66500</v>
      </c>
      <c r="J14" s="10">
        <f t="shared" si="3"/>
        <v>23.699215965787598</v>
      </c>
      <c r="K14" s="11">
        <f t="shared" si="4"/>
        <v>5239.8966500356382</v>
      </c>
      <c r="L14" s="23">
        <v>20837</v>
      </c>
      <c r="M14" s="9">
        <v>300</v>
      </c>
      <c r="N14" s="9">
        <v>12500</v>
      </c>
      <c r="O14" s="23"/>
      <c r="P14" s="77">
        <v>445.3</v>
      </c>
      <c r="Q14" s="19">
        <f t="shared" si="0"/>
        <v>1.5006452774693118</v>
      </c>
      <c r="R14" s="11">
        <f t="shared" si="5"/>
        <v>39322.196650035643</v>
      </c>
      <c r="S14" s="7">
        <f>53+2</f>
        <v>55</v>
      </c>
      <c r="T14" s="19">
        <f t="shared" si="1"/>
        <v>4.7206934962076472</v>
      </c>
      <c r="U14" s="12">
        <f t="shared" si="8"/>
        <v>4.0125894717764998</v>
      </c>
      <c r="V14" s="10">
        <f t="shared" ref="V14:V16" si="9">SUM(T14/2)</f>
        <v>2.3603467481038236</v>
      </c>
      <c r="W14" s="9" t="s">
        <v>116</v>
      </c>
      <c r="X14" s="9"/>
    </row>
    <row r="15" spans="1:24" x14ac:dyDescent="0.25">
      <c r="A15" s="7" t="s">
        <v>34</v>
      </c>
      <c r="B15" s="16">
        <v>1066.8</v>
      </c>
      <c r="C15" s="16">
        <v>38.299999999999997</v>
      </c>
      <c r="D15" s="9"/>
      <c r="E15" s="9">
        <v>3136</v>
      </c>
      <c r="F15" s="9">
        <v>11000</v>
      </c>
      <c r="G15" s="9">
        <v>138</v>
      </c>
      <c r="H15" s="9">
        <v>10019</v>
      </c>
      <c r="I15" s="9">
        <f t="shared" si="2"/>
        <v>24293</v>
      </c>
      <c r="J15" s="10">
        <f t="shared" si="3"/>
        <v>22.771841019872518</v>
      </c>
      <c r="K15" s="11">
        <f t="shared" si="4"/>
        <v>872.16151106111738</v>
      </c>
      <c r="L15" s="23">
        <v>22024</v>
      </c>
      <c r="M15" s="9">
        <v>150</v>
      </c>
      <c r="N15" s="9">
        <v>20400</v>
      </c>
      <c r="O15" s="23">
        <v>490</v>
      </c>
      <c r="P15" s="77">
        <v>784.8</v>
      </c>
      <c r="Q15" s="19">
        <f t="shared" si="0"/>
        <v>1.7723410540216504</v>
      </c>
      <c r="R15" s="11">
        <f t="shared" si="5"/>
        <v>44720.961511061119</v>
      </c>
      <c r="S15" s="7">
        <f>63+13</f>
        <v>76</v>
      </c>
      <c r="T15" s="19">
        <f t="shared" si="1"/>
        <v>3.8853331402635156</v>
      </c>
      <c r="U15" s="12">
        <f t="shared" si="8"/>
        <v>3.3025331692239881</v>
      </c>
      <c r="V15" s="10">
        <f t="shared" si="9"/>
        <v>1.9426665701317578</v>
      </c>
      <c r="W15" s="9" t="s">
        <v>102</v>
      </c>
      <c r="X15" s="9"/>
    </row>
    <row r="16" spans="1:24" x14ac:dyDescent="0.25">
      <c r="A16" s="7" t="s">
        <v>35</v>
      </c>
      <c r="B16" s="16">
        <v>834.2</v>
      </c>
      <c r="C16" s="16">
        <v>44.6</v>
      </c>
      <c r="D16" s="9">
        <v>15000</v>
      </c>
      <c r="E16" s="9">
        <v>2160</v>
      </c>
      <c r="F16" s="9">
        <v>10600</v>
      </c>
      <c r="G16" s="9">
        <v>550</v>
      </c>
      <c r="H16" s="9"/>
      <c r="I16" s="9">
        <f t="shared" si="2"/>
        <v>28310</v>
      </c>
      <c r="J16" s="10">
        <f t="shared" si="3"/>
        <v>33.936705825941019</v>
      </c>
      <c r="K16" s="11">
        <f t="shared" si="4"/>
        <v>1513.5770798369695</v>
      </c>
      <c r="L16" s="23">
        <v>32405</v>
      </c>
      <c r="M16" s="9">
        <v>300</v>
      </c>
      <c r="N16" s="9">
        <v>31900</v>
      </c>
      <c r="O16" s="23">
        <v>2700</v>
      </c>
      <c r="P16" s="77">
        <v>822</v>
      </c>
      <c r="Q16" s="19">
        <f t="shared" si="0"/>
        <v>1.5956861450423681</v>
      </c>
      <c r="R16" s="11">
        <f t="shared" si="5"/>
        <v>69640.577079836978</v>
      </c>
      <c r="S16" s="7">
        <f>109+23</f>
        <v>132</v>
      </c>
      <c r="T16" s="19">
        <f t="shared" si="1"/>
        <v>3.4835267705031652</v>
      </c>
      <c r="U16" s="12">
        <f t="shared" si="8"/>
        <v>2.9609977549276905</v>
      </c>
      <c r="V16" s="10">
        <f t="shared" si="9"/>
        <v>1.7417633852515826</v>
      </c>
      <c r="W16" s="9" t="s">
        <v>103</v>
      </c>
      <c r="X16" s="9"/>
    </row>
    <row r="17" spans="1:24" x14ac:dyDescent="0.25">
      <c r="A17" s="7" t="s">
        <v>36</v>
      </c>
      <c r="B17" s="16">
        <v>482</v>
      </c>
      <c r="C17" s="16">
        <v>26.7</v>
      </c>
      <c r="D17" s="9">
        <v>12200</v>
      </c>
      <c r="E17" s="9">
        <v>1500</v>
      </c>
      <c r="F17" s="9">
        <v>10500</v>
      </c>
      <c r="G17" s="9">
        <v>480</v>
      </c>
      <c r="H17" s="9"/>
      <c r="I17" s="9">
        <f t="shared" si="2"/>
        <v>24680</v>
      </c>
      <c r="J17" s="10">
        <f t="shared" si="3"/>
        <v>51.203319502074692</v>
      </c>
      <c r="K17" s="11">
        <f t="shared" si="4"/>
        <v>1367.1286307053942</v>
      </c>
      <c r="L17" s="23">
        <v>16833</v>
      </c>
      <c r="M17" s="9">
        <v>200</v>
      </c>
      <c r="N17" s="9">
        <v>14000</v>
      </c>
      <c r="O17" s="23"/>
      <c r="P17" s="77">
        <v>208.9</v>
      </c>
      <c r="Q17" s="19">
        <f t="shared" si="0"/>
        <v>1.5406624848684933</v>
      </c>
      <c r="R17" s="11">
        <f t="shared" si="5"/>
        <v>32609.028630705398</v>
      </c>
      <c r="S17" s="7">
        <f>49+11</f>
        <v>60</v>
      </c>
      <c r="T17" s="19">
        <f t="shared" si="1"/>
        <v>3.5885362199521729</v>
      </c>
      <c r="U17" s="12">
        <f t="shared" si="8"/>
        <v>3.050255786959347</v>
      </c>
      <c r="V17" s="10">
        <f>SUM(T17/2)</f>
        <v>1.7942681099760864</v>
      </c>
      <c r="W17" s="9" t="s">
        <v>112</v>
      </c>
      <c r="X17" s="9"/>
    </row>
    <row r="18" spans="1:24" x14ac:dyDescent="0.25">
      <c r="A18" s="7" t="s">
        <v>37</v>
      </c>
      <c r="B18" s="16">
        <v>1047.2</v>
      </c>
      <c r="C18" s="16">
        <v>26.2</v>
      </c>
      <c r="D18" s="9">
        <v>15570</v>
      </c>
      <c r="E18" s="9">
        <v>3910</v>
      </c>
      <c r="F18" s="9">
        <v>13800</v>
      </c>
      <c r="G18" s="9">
        <v>1100</v>
      </c>
      <c r="H18" s="9"/>
      <c r="I18" s="9">
        <f t="shared" si="2"/>
        <v>34380</v>
      </c>
      <c r="J18" s="10">
        <f t="shared" si="3"/>
        <v>32.830404889228419</v>
      </c>
      <c r="K18" s="11">
        <f t="shared" si="4"/>
        <v>860.15660809778456</v>
      </c>
      <c r="L18" s="23">
        <v>20837</v>
      </c>
      <c r="M18" s="9">
        <v>382</v>
      </c>
      <c r="N18" s="9">
        <v>23881</v>
      </c>
      <c r="O18" s="23"/>
      <c r="P18" s="77">
        <v>451.4</v>
      </c>
      <c r="Q18" s="19">
        <f t="shared" si="0"/>
        <v>1.5612119151829347</v>
      </c>
      <c r="R18" s="11">
        <f t="shared" si="5"/>
        <v>46411.556608097788</v>
      </c>
      <c r="S18" s="7">
        <f>98+3</f>
        <v>101</v>
      </c>
      <c r="T18" s="19">
        <f t="shared" si="1"/>
        <v>3.0341390720132964</v>
      </c>
      <c r="U18" s="12">
        <f t="shared" si="8"/>
        <v>2.5620182112113019</v>
      </c>
      <c r="V18" s="10">
        <f>SUM(T18/2)-0.01</f>
        <v>1.5070695360066482</v>
      </c>
      <c r="W18" s="9" t="s">
        <v>104</v>
      </c>
      <c r="X18" s="9"/>
    </row>
    <row r="19" spans="1:24" x14ac:dyDescent="0.25">
      <c r="A19" s="17" t="s">
        <v>38</v>
      </c>
      <c r="B19" s="18">
        <f>SUM(B7:B18)</f>
        <v>20218.2</v>
      </c>
      <c r="C19" s="18">
        <f t="shared" ref="C19:P19" si="10">SUM(C7:C18)</f>
        <v>954.1</v>
      </c>
      <c r="D19" s="18">
        <f t="shared" si="10"/>
        <v>335770</v>
      </c>
      <c r="E19" s="18">
        <f t="shared" si="10"/>
        <v>48661</v>
      </c>
      <c r="F19" s="18">
        <f t="shared" si="10"/>
        <v>191186</v>
      </c>
      <c r="G19" s="18">
        <f t="shared" si="10"/>
        <v>12178</v>
      </c>
      <c r="H19" s="18">
        <f t="shared" si="10"/>
        <v>20019</v>
      </c>
      <c r="I19" s="18">
        <f t="shared" si="10"/>
        <v>607814</v>
      </c>
      <c r="J19" s="18">
        <f t="shared" si="10"/>
        <v>418.87276685709628</v>
      </c>
      <c r="K19" s="18">
        <f t="shared" si="10"/>
        <v>28805.261172082013</v>
      </c>
      <c r="L19" s="20">
        <f t="shared" si="10"/>
        <v>360165</v>
      </c>
      <c r="M19" s="18">
        <f t="shared" si="10"/>
        <v>5132</v>
      </c>
      <c r="N19" s="18">
        <f t="shared" si="10"/>
        <v>524473</v>
      </c>
      <c r="O19" s="18">
        <f t="shared" si="10"/>
        <v>12990</v>
      </c>
      <c r="P19" s="18">
        <f t="shared" si="10"/>
        <v>11479.119999999999</v>
      </c>
      <c r="Q19" s="19">
        <f t="shared" si="0"/>
        <v>1.7384592844802782</v>
      </c>
      <c r="R19" s="19">
        <f>SUM(R7:R18)</f>
        <v>943044.38117208192</v>
      </c>
      <c r="S19" s="20">
        <f>SUM(S7:S18)</f>
        <v>1992</v>
      </c>
      <c r="T19" s="19">
        <f t="shared" si="1"/>
        <v>3.1258887685840153</v>
      </c>
      <c r="U19" s="9"/>
      <c r="V19" s="9"/>
      <c r="W19" s="9"/>
      <c r="X19" s="9"/>
    </row>
    <row r="20" spans="1:24" x14ac:dyDescent="0.25">
      <c r="A20" s="23" t="s">
        <v>39</v>
      </c>
      <c r="B20" s="24">
        <v>9098</v>
      </c>
      <c r="C20" s="24">
        <v>230</v>
      </c>
      <c r="D20" s="24">
        <v>94500</v>
      </c>
      <c r="E20" s="24">
        <v>7630</v>
      </c>
      <c r="F20" s="24">
        <v>48000</v>
      </c>
      <c r="G20" s="24">
        <v>3500</v>
      </c>
      <c r="H20" s="24"/>
      <c r="I20" s="9">
        <f t="shared" ref="I20:I23" si="11">SUM(D20:H20)</f>
        <v>153630</v>
      </c>
      <c r="J20" s="10">
        <f t="shared" ref="J20:J23" si="12">SUM(I20/B20)</f>
        <v>16.886128819520774</v>
      </c>
      <c r="K20" s="11">
        <f t="shared" si="4"/>
        <v>3883.8096284897779</v>
      </c>
      <c r="L20" s="23">
        <v>82578</v>
      </c>
      <c r="M20" s="24">
        <v>1000</v>
      </c>
      <c r="N20" s="24">
        <v>153842</v>
      </c>
      <c r="O20" s="23"/>
      <c r="P20" s="77">
        <v>2534.1</v>
      </c>
      <c r="Q20" s="19">
        <f t="shared" ref="Q20:Q26" si="13">SUM(N20/171/S20)</f>
        <v>1.7709858636091542</v>
      </c>
      <c r="R20" s="11">
        <f t="shared" si="5"/>
        <v>243837.90962848978</v>
      </c>
      <c r="S20" s="23">
        <f>466+42</f>
        <v>508</v>
      </c>
      <c r="T20" s="19">
        <f t="shared" ref="T20:T32" si="14">SUM(R20/171/S20)</f>
        <v>2.8069934800903642</v>
      </c>
      <c r="U20" s="10">
        <v>2.81</v>
      </c>
      <c r="V20" s="82">
        <f>SUM(U20*70%)</f>
        <v>1.9669999999999999</v>
      </c>
      <c r="W20" s="9"/>
      <c r="X20" s="9"/>
    </row>
    <row r="21" spans="1:24" x14ac:dyDescent="0.25">
      <c r="A21" s="23" t="s">
        <v>40</v>
      </c>
      <c r="B21" s="24">
        <v>2470.4</v>
      </c>
      <c r="C21" s="24">
        <v>129.1</v>
      </c>
      <c r="D21" s="24"/>
      <c r="E21" s="24">
        <v>2200</v>
      </c>
      <c r="F21" s="24">
        <v>18000</v>
      </c>
      <c r="G21" s="24">
        <v>350</v>
      </c>
      <c r="H21" s="24">
        <v>14400</v>
      </c>
      <c r="I21" s="9">
        <f t="shared" si="11"/>
        <v>34950</v>
      </c>
      <c r="J21" s="10">
        <f t="shared" si="12"/>
        <v>14.147506476683937</v>
      </c>
      <c r="K21" s="11">
        <f t="shared" si="4"/>
        <v>1826.4430861398962</v>
      </c>
      <c r="L21" s="23">
        <v>32405</v>
      </c>
      <c r="M21" s="24">
        <v>150</v>
      </c>
      <c r="N21" s="24">
        <v>38681</v>
      </c>
      <c r="O21" s="20"/>
      <c r="P21" s="77">
        <v>1380</v>
      </c>
      <c r="Q21" s="19">
        <f t="shared" si="13"/>
        <v>1.6157477025898079</v>
      </c>
      <c r="R21" s="11">
        <f t="shared" si="5"/>
        <v>74442.443086139887</v>
      </c>
      <c r="S21" s="23">
        <f>125+15</f>
        <v>140</v>
      </c>
      <c r="T21" s="19">
        <f t="shared" si="14"/>
        <v>3.1095423177167874</v>
      </c>
      <c r="U21" s="9">
        <v>3.11</v>
      </c>
      <c r="V21" s="9"/>
      <c r="W21" s="9"/>
      <c r="X21" s="9"/>
    </row>
    <row r="22" spans="1:24" x14ac:dyDescent="0.25">
      <c r="A22" s="23" t="s">
        <v>41</v>
      </c>
      <c r="B22" s="24">
        <v>2964</v>
      </c>
      <c r="C22" s="24">
        <v>193.1</v>
      </c>
      <c r="D22" s="24"/>
      <c r="E22" s="24">
        <v>6000</v>
      </c>
      <c r="F22" s="24">
        <v>27000</v>
      </c>
      <c r="G22" s="24">
        <v>4800</v>
      </c>
      <c r="H22" s="24">
        <v>35000</v>
      </c>
      <c r="I22" s="9">
        <f t="shared" si="11"/>
        <v>72800</v>
      </c>
      <c r="J22" s="10">
        <f t="shared" si="12"/>
        <v>24.561403508771932</v>
      </c>
      <c r="K22" s="11">
        <f t="shared" si="4"/>
        <v>4742.8070175438597</v>
      </c>
      <c r="L22" s="23">
        <v>50795</v>
      </c>
      <c r="M22" s="24">
        <v>200</v>
      </c>
      <c r="N22" s="24">
        <v>48252</v>
      </c>
      <c r="O22" s="20"/>
      <c r="P22" s="77">
        <v>1051.9000000000001</v>
      </c>
      <c r="Q22" s="19">
        <f t="shared" si="13"/>
        <v>1.5170722505187701</v>
      </c>
      <c r="R22" s="11">
        <f t="shared" si="5"/>
        <v>105041.70701754386</v>
      </c>
      <c r="S22" s="23">
        <f>163+23</f>
        <v>186</v>
      </c>
      <c r="T22" s="19">
        <f t="shared" si="14"/>
        <v>3.3025752064875764</v>
      </c>
      <c r="U22" s="10">
        <f>SUM(T22/2*1.7)</f>
        <v>2.8071889255144398</v>
      </c>
      <c r="V22" s="10">
        <f>SUM(T22/2)+0.01</f>
        <v>1.6612876032437882</v>
      </c>
      <c r="W22" s="9" t="s">
        <v>100</v>
      </c>
      <c r="X22" s="9"/>
    </row>
    <row r="23" spans="1:24" x14ac:dyDescent="0.25">
      <c r="A23" s="23" t="s">
        <v>42</v>
      </c>
      <c r="B23" s="24">
        <v>1184.9000000000001</v>
      </c>
      <c r="C23" s="24">
        <v>129.1</v>
      </c>
      <c r="D23" s="24">
        <v>20800</v>
      </c>
      <c r="E23" s="24"/>
      <c r="F23" s="24">
        <v>23500</v>
      </c>
      <c r="G23" s="24">
        <v>720</v>
      </c>
      <c r="H23" s="24"/>
      <c r="I23" s="9">
        <f t="shared" si="11"/>
        <v>45020</v>
      </c>
      <c r="J23" s="10">
        <f t="shared" si="12"/>
        <v>37.994767490927501</v>
      </c>
      <c r="K23" s="11">
        <f t="shared" si="4"/>
        <v>4905.12448307874</v>
      </c>
      <c r="L23" s="23">
        <v>32479</v>
      </c>
      <c r="M23" s="24"/>
      <c r="N23" s="24">
        <v>50780</v>
      </c>
      <c r="O23" s="20"/>
      <c r="P23" s="77">
        <v>436.1</v>
      </c>
      <c r="Q23" s="19">
        <f t="shared" si="13"/>
        <v>1.8914590084553211</v>
      </c>
      <c r="R23" s="11">
        <f t="shared" si="5"/>
        <v>88600.224483078753</v>
      </c>
      <c r="S23" s="23">
        <f>147+10</f>
        <v>157</v>
      </c>
      <c r="T23" s="19">
        <f t="shared" si="14"/>
        <v>3.30019087730766</v>
      </c>
      <c r="U23" s="10">
        <v>3.3</v>
      </c>
      <c r="V23" s="9"/>
      <c r="W23" s="9"/>
      <c r="X23" s="9"/>
    </row>
    <row r="24" spans="1:24" x14ac:dyDescent="0.25">
      <c r="A24" s="23" t="s">
        <v>43</v>
      </c>
      <c r="B24" s="9">
        <v>1565</v>
      </c>
      <c r="C24" s="9">
        <v>114</v>
      </c>
      <c r="D24" s="9"/>
      <c r="E24" s="9">
        <v>1335</v>
      </c>
      <c r="F24" s="9">
        <v>9000</v>
      </c>
      <c r="G24" s="9">
        <v>800</v>
      </c>
      <c r="H24" s="9">
        <v>14000</v>
      </c>
      <c r="I24" s="9">
        <f t="shared" si="2"/>
        <v>25135</v>
      </c>
      <c r="J24" s="10">
        <f t="shared" si="3"/>
        <v>16.060702875399361</v>
      </c>
      <c r="K24" s="11">
        <f t="shared" si="4"/>
        <v>1830.9201277955272</v>
      </c>
      <c r="L24" s="23">
        <v>22024</v>
      </c>
      <c r="M24" s="9">
        <v>300</v>
      </c>
      <c r="N24" s="9">
        <v>24526</v>
      </c>
      <c r="O24" s="23"/>
      <c r="P24" s="77">
        <v>204.3</v>
      </c>
      <c r="Q24" s="19">
        <f t="shared" si="13"/>
        <v>1.6485850641930497</v>
      </c>
      <c r="R24" s="11">
        <f t="shared" si="5"/>
        <v>48885.220127795532</v>
      </c>
      <c r="S24" s="7">
        <f>71+16</f>
        <v>87</v>
      </c>
      <c r="T24" s="19">
        <f t="shared" si="14"/>
        <v>3.2859595434425981</v>
      </c>
      <c r="U24" s="10">
        <f>SUM(T24/2*1.7)</f>
        <v>2.7930656119262083</v>
      </c>
      <c r="V24" s="10">
        <f>SUM(T24/2)+0.01</f>
        <v>1.6529797717212991</v>
      </c>
      <c r="W24" s="9" t="s">
        <v>100</v>
      </c>
      <c r="X24" s="9"/>
    </row>
    <row r="25" spans="1:24" x14ac:dyDescent="0.25">
      <c r="A25" s="23" t="s">
        <v>44</v>
      </c>
      <c r="B25" s="9">
        <v>1064</v>
      </c>
      <c r="C25" s="9">
        <v>91.1</v>
      </c>
      <c r="D25" s="9">
        <v>38000</v>
      </c>
      <c r="E25" s="9">
        <v>1700</v>
      </c>
      <c r="F25" s="9">
        <v>15000</v>
      </c>
      <c r="G25" s="9">
        <v>400</v>
      </c>
      <c r="H25" s="9">
        <v>0</v>
      </c>
      <c r="I25" s="9">
        <f t="shared" si="2"/>
        <v>55100</v>
      </c>
      <c r="J25" s="10">
        <f t="shared" si="3"/>
        <v>51.785714285714285</v>
      </c>
      <c r="K25" s="11">
        <f t="shared" si="4"/>
        <v>4717.6785714285706</v>
      </c>
      <c r="L25" s="23">
        <v>22024</v>
      </c>
      <c r="M25" s="9">
        <v>200</v>
      </c>
      <c r="N25" s="9">
        <v>52046</v>
      </c>
      <c r="O25" s="23">
        <v>5000</v>
      </c>
      <c r="P25" s="23">
        <v>0</v>
      </c>
      <c r="Q25" s="19">
        <f t="shared" si="13"/>
        <v>2.5153931661108695</v>
      </c>
      <c r="R25" s="11">
        <f t="shared" si="5"/>
        <v>83987.67857142858</v>
      </c>
      <c r="S25" s="7">
        <f>106+15</f>
        <v>121</v>
      </c>
      <c r="T25" s="19">
        <f t="shared" si="14"/>
        <v>4.0591406201454054</v>
      </c>
      <c r="U25" s="10">
        <f>SUM(T25/2*1.7)</f>
        <v>3.4502695271235946</v>
      </c>
      <c r="V25" s="10">
        <f>SUM(T25/2)+0.01</f>
        <v>2.0395703100727025</v>
      </c>
      <c r="W25" s="9" t="s">
        <v>113</v>
      </c>
      <c r="X25" s="9"/>
    </row>
    <row r="26" spans="1:24" x14ac:dyDescent="0.25">
      <c r="A26" s="23" t="s">
        <v>45</v>
      </c>
      <c r="B26" s="9">
        <v>4977</v>
      </c>
      <c r="C26" s="9">
        <v>276.5</v>
      </c>
      <c r="D26" s="9"/>
      <c r="E26" s="9">
        <v>5700</v>
      </c>
      <c r="F26" s="9">
        <v>39000</v>
      </c>
      <c r="G26" s="9">
        <v>3381</v>
      </c>
      <c r="H26" s="9">
        <v>35000</v>
      </c>
      <c r="I26" s="9">
        <f t="shared" si="2"/>
        <v>83081</v>
      </c>
      <c r="J26" s="10">
        <f t="shared" si="3"/>
        <v>16.692987743620655</v>
      </c>
      <c r="K26" s="11">
        <f t="shared" si="4"/>
        <v>4615.6111111111113</v>
      </c>
      <c r="L26" s="23">
        <v>31219</v>
      </c>
      <c r="M26" s="9">
        <v>575</v>
      </c>
      <c r="N26" s="9">
        <v>59577</v>
      </c>
      <c r="O26" s="23"/>
      <c r="P26" s="77">
        <v>1094.5</v>
      </c>
      <c r="Q26" s="19">
        <f t="shared" si="13"/>
        <v>1.9355750487329433</v>
      </c>
      <c r="R26" s="11">
        <f t="shared" si="5"/>
        <v>97081.111111111109</v>
      </c>
      <c r="S26" s="7">
        <f>174+6</f>
        <v>180</v>
      </c>
      <c r="T26" s="19">
        <f t="shared" si="14"/>
        <v>3.1540321998411667</v>
      </c>
      <c r="U26" s="10">
        <f>SUM(T26/2*1.7)</f>
        <v>2.6809273698649916</v>
      </c>
      <c r="V26" s="10">
        <f>SUM(T26/2)+0.01</f>
        <v>1.5870160999205833</v>
      </c>
      <c r="W26" s="9" t="s">
        <v>114</v>
      </c>
      <c r="X26" s="9"/>
    </row>
    <row r="27" spans="1:24" x14ac:dyDescent="0.25">
      <c r="A27" s="75" t="s">
        <v>46</v>
      </c>
      <c r="B27" s="8">
        <v>4638</v>
      </c>
      <c r="C27" s="8">
        <v>112</v>
      </c>
      <c r="D27" s="9">
        <v>25000</v>
      </c>
      <c r="E27" s="9">
        <v>4300</v>
      </c>
      <c r="F27" s="9">
        <v>10400</v>
      </c>
      <c r="G27" s="9">
        <v>700</v>
      </c>
      <c r="H27" s="9">
        <v>0</v>
      </c>
      <c r="I27" s="9">
        <f t="shared" si="2"/>
        <v>40400</v>
      </c>
      <c r="J27" s="10">
        <f t="shared" si="3"/>
        <v>8.710651142733937</v>
      </c>
      <c r="K27" s="11">
        <f t="shared" si="4"/>
        <v>975.59292798620095</v>
      </c>
      <c r="L27" s="23"/>
      <c r="M27" s="74">
        <v>200</v>
      </c>
      <c r="N27" s="73"/>
      <c r="O27" s="9"/>
      <c r="P27" s="72">
        <v>595.1</v>
      </c>
      <c r="Q27" s="12">
        <f t="shared" ref="Q27:Q32" si="15">SUM(N27/171/S27)</f>
        <v>0</v>
      </c>
      <c r="R27" s="11">
        <f t="shared" si="5"/>
        <v>1770.6929279862011</v>
      </c>
      <c r="S27" s="7">
        <f>317+25</f>
        <v>342</v>
      </c>
      <c r="T27" s="15">
        <f t="shared" si="14"/>
        <v>3.0277571355052858E-2</v>
      </c>
      <c r="U27" s="10">
        <f>SUM(U8)</f>
        <v>2.4281524494736755</v>
      </c>
      <c r="V27" s="9"/>
      <c r="W27" s="9"/>
      <c r="X27" s="9"/>
    </row>
    <row r="28" spans="1:24" x14ac:dyDescent="0.25">
      <c r="A28" s="71" t="s">
        <v>47</v>
      </c>
      <c r="B28" s="9">
        <v>2039</v>
      </c>
      <c r="C28" s="9"/>
      <c r="D28" s="9">
        <v>14000</v>
      </c>
      <c r="E28" s="9">
        <v>1485</v>
      </c>
      <c r="F28" s="9">
        <v>4560</v>
      </c>
      <c r="G28" s="9">
        <v>1100</v>
      </c>
      <c r="H28" s="9">
        <v>0</v>
      </c>
      <c r="I28" s="9">
        <f t="shared" si="2"/>
        <v>21145</v>
      </c>
      <c r="J28" s="10">
        <f t="shared" si="3"/>
        <v>10.370279548798431</v>
      </c>
      <c r="K28" s="11">
        <f t="shared" si="4"/>
        <v>0</v>
      </c>
      <c r="L28" s="23"/>
      <c r="M28" s="74">
        <v>100</v>
      </c>
      <c r="N28" s="74">
        <v>100</v>
      </c>
      <c r="O28" s="9"/>
      <c r="P28" s="72">
        <v>583.6</v>
      </c>
      <c r="Q28" s="12">
        <f t="shared" si="15"/>
        <v>4.2999656002751978E-3</v>
      </c>
      <c r="R28" s="11">
        <f t="shared" si="5"/>
        <v>783.6</v>
      </c>
      <c r="S28" s="7">
        <f>124+12</f>
        <v>136</v>
      </c>
      <c r="T28" s="15">
        <f t="shared" si="14"/>
        <v>3.3694530443756449E-2</v>
      </c>
      <c r="U28" s="10">
        <f>SUM(U12)</f>
        <v>2.8392442221474541</v>
      </c>
      <c r="V28" s="9"/>
      <c r="W28" s="9"/>
      <c r="X28" s="9"/>
    </row>
    <row r="29" spans="1:24" x14ac:dyDescent="0.25">
      <c r="A29" s="7" t="s">
        <v>48</v>
      </c>
      <c r="B29" s="9">
        <v>2213</v>
      </c>
      <c r="C29" s="9">
        <v>98.5</v>
      </c>
      <c r="D29" s="9"/>
      <c r="E29" s="9">
        <v>2640</v>
      </c>
      <c r="F29" s="9">
        <v>20000</v>
      </c>
      <c r="G29" s="9">
        <v>650</v>
      </c>
      <c r="H29" s="9">
        <v>50000</v>
      </c>
      <c r="I29" s="9">
        <f t="shared" si="2"/>
        <v>73290</v>
      </c>
      <c r="J29" s="10">
        <f t="shared" si="3"/>
        <v>33.117939448712157</v>
      </c>
      <c r="K29" s="11">
        <f t="shared" si="4"/>
        <v>3262.1170356981474</v>
      </c>
      <c r="L29" s="23">
        <v>22024</v>
      </c>
      <c r="M29" s="9">
        <v>200</v>
      </c>
      <c r="N29" s="9">
        <v>40369</v>
      </c>
      <c r="O29" s="76"/>
      <c r="P29" s="77">
        <v>259.89999999999998</v>
      </c>
      <c r="Q29" s="19">
        <f t="shared" si="15"/>
        <v>1.439487947511054</v>
      </c>
      <c r="R29" s="11">
        <f t="shared" si="5"/>
        <v>66115.01703569814</v>
      </c>
      <c r="S29" s="7">
        <f>139+25</f>
        <v>164</v>
      </c>
      <c r="T29" s="80">
        <f t="shared" si="14"/>
        <v>2.3575458934423814</v>
      </c>
      <c r="U29" s="81">
        <f>SUM(T29/2*1.7)</f>
        <v>2.0039140094260239</v>
      </c>
      <c r="V29" s="81">
        <f>SUM(T29/2)</f>
        <v>1.1787729467211907</v>
      </c>
      <c r="W29" s="9" t="s">
        <v>101</v>
      </c>
      <c r="X29" s="9"/>
    </row>
    <row r="30" spans="1:24" x14ac:dyDescent="0.25">
      <c r="A30" s="27" t="s">
        <v>49</v>
      </c>
      <c r="B30" s="28">
        <v>1681</v>
      </c>
      <c r="C30" s="28">
        <v>166</v>
      </c>
      <c r="D30" s="28"/>
      <c r="E30" s="28"/>
      <c r="F30" s="28">
        <v>7500</v>
      </c>
      <c r="G30" s="28">
        <v>400</v>
      </c>
      <c r="H30" s="29"/>
      <c r="I30" s="9">
        <f t="shared" si="2"/>
        <v>7900</v>
      </c>
      <c r="J30" s="10">
        <f t="shared" si="3"/>
        <v>4.699583581201666</v>
      </c>
      <c r="K30" s="11">
        <f t="shared" si="4"/>
        <v>780.13087447947657</v>
      </c>
      <c r="L30" s="23">
        <v>27585</v>
      </c>
      <c r="M30" s="24">
        <v>300</v>
      </c>
      <c r="N30" s="24">
        <v>27800</v>
      </c>
      <c r="O30" s="20"/>
      <c r="P30" s="77">
        <v>1759</v>
      </c>
      <c r="Q30" s="19">
        <f>SUM(N30/94/S30)</f>
        <v>2.8436988543371524</v>
      </c>
      <c r="R30" s="11">
        <f t="shared" si="5"/>
        <v>58224.130874479481</v>
      </c>
      <c r="S30" s="7">
        <f>72+32</f>
        <v>104</v>
      </c>
      <c r="T30" s="19">
        <f>SUM(R30/94/S30)</f>
        <v>5.9558235346235149</v>
      </c>
      <c r="U30" s="77">
        <f>SUM(V30*1.7)</f>
        <v>4.0499600035439896</v>
      </c>
      <c r="V30" s="10">
        <f>SUM(T30/5*2)</f>
        <v>2.3823294138494058</v>
      </c>
      <c r="W30" s="9" t="s">
        <v>108</v>
      </c>
      <c r="X30" s="10">
        <v>1.2</v>
      </c>
    </row>
    <row r="31" spans="1:24" x14ac:dyDescent="0.25">
      <c r="A31" s="7" t="s">
        <v>50</v>
      </c>
      <c r="B31" s="9">
        <v>2731</v>
      </c>
      <c r="C31" s="9">
        <v>132</v>
      </c>
      <c r="D31" s="9">
        <v>50000</v>
      </c>
      <c r="E31" s="9">
        <v>7200</v>
      </c>
      <c r="F31" s="9">
        <v>35000</v>
      </c>
      <c r="G31" s="9">
        <v>4200</v>
      </c>
      <c r="H31" s="9"/>
      <c r="I31" s="9">
        <f t="shared" si="2"/>
        <v>96400</v>
      </c>
      <c r="J31" s="10">
        <f t="shared" si="3"/>
        <v>35.29842548517027</v>
      </c>
      <c r="K31" s="11">
        <f t="shared" si="4"/>
        <v>4659.392164042476</v>
      </c>
      <c r="L31" s="23">
        <v>58819</v>
      </c>
      <c r="M31" s="9">
        <v>200</v>
      </c>
      <c r="N31" s="9">
        <v>58000</v>
      </c>
      <c r="O31" s="23">
        <v>2000</v>
      </c>
      <c r="P31" s="77">
        <v>953.5</v>
      </c>
      <c r="Q31" s="19">
        <f>SUM(N31/171/S31)/0.75</f>
        <v>1.190109777367395</v>
      </c>
      <c r="R31" s="11">
        <f t="shared" si="5"/>
        <v>124631.89216404248</v>
      </c>
      <c r="S31" s="7">
        <f>350+30</f>
        <v>380</v>
      </c>
      <c r="T31" s="31">
        <f t="shared" si="14"/>
        <v>1.9180038806408508</v>
      </c>
      <c r="U31" s="80">
        <f>SUM(T31/0.75)</f>
        <v>2.5573385075211346</v>
      </c>
      <c r="V31" s="9" t="s">
        <v>107</v>
      </c>
      <c r="W31" s="9"/>
      <c r="X31" s="9"/>
    </row>
    <row r="32" spans="1:24" x14ac:dyDescent="0.25">
      <c r="A32" s="33" t="s">
        <v>51</v>
      </c>
      <c r="B32" s="1">
        <f>SUM(B20:B31)</f>
        <v>36625.300000000003</v>
      </c>
      <c r="C32" s="1">
        <f t="shared" ref="C32:P32" si="16">SUM(C20:C31)</f>
        <v>1671.4</v>
      </c>
      <c r="D32" s="1">
        <f t="shared" si="16"/>
        <v>242300</v>
      </c>
      <c r="E32" s="1">
        <f t="shared" si="16"/>
        <v>40190</v>
      </c>
      <c r="F32" s="1">
        <f t="shared" si="16"/>
        <v>256960</v>
      </c>
      <c r="G32" s="1">
        <f t="shared" si="16"/>
        <v>21001</v>
      </c>
      <c r="H32" s="1">
        <f t="shared" si="16"/>
        <v>148400</v>
      </c>
      <c r="I32" s="1">
        <f t="shared" si="16"/>
        <v>708851</v>
      </c>
      <c r="J32" s="1">
        <f t="shared" si="16"/>
        <v>270.32609040725492</v>
      </c>
      <c r="K32" s="1">
        <f t="shared" si="16"/>
        <v>36199.627027793787</v>
      </c>
      <c r="L32" s="1">
        <f t="shared" si="16"/>
        <v>381952</v>
      </c>
      <c r="M32" s="1">
        <f t="shared" si="16"/>
        <v>3425</v>
      </c>
      <c r="N32" s="1">
        <f t="shared" si="16"/>
        <v>553973</v>
      </c>
      <c r="O32" s="1">
        <f t="shared" si="16"/>
        <v>7000</v>
      </c>
      <c r="P32" s="1">
        <f t="shared" si="16"/>
        <v>10852</v>
      </c>
      <c r="Q32" s="19">
        <f t="shared" si="15"/>
        <v>1.5982280153598929</v>
      </c>
      <c r="R32" s="34">
        <f>SUM(R20:R31)-R27-R28</f>
        <v>990847.33409980766</v>
      </c>
      <c r="S32" s="35">
        <f>SUM(S20:S31)-S27-S28</f>
        <v>2027</v>
      </c>
      <c r="T32" s="83">
        <f t="shared" si="14"/>
        <v>2.8586230164700739</v>
      </c>
    </row>
    <row r="33" spans="1:20" x14ac:dyDescent="0.25">
      <c r="A33" s="76" t="s">
        <v>95</v>
      </c>
      <c r="D33" s="34">
        <f t="shared" ref="D33:P33" si="17">SUM(D19+D32)</f>
        <v>578070</v>
      </c>
      <c r="E33" s="34">
        <f t="shared" si="17"/>
        <v>88851</v>
      </c>
      <c r="F33" s="34">
        <f t="shared" si="17"/>
        <v>448146</v>
      </c>
      <c r="G33" s="34">
        <f t="shared" si="17"/>
        <v>33179</v>
      </c>
      <c r="H33" s="34">
        <f t="shared" si="17"/>
        <v>168419</v>
      </c>
      <c r="I33" s="34">
        <f t="shared" si="17"/>
        <v>1316665</v>
      </c>
      <c r="J33" s="34">
        <f t="shared" si="17"/>
        <v>689.1988572643512</v>
      </c>
      <c r="K33" s="34">
        <f t="shared" si="17"/>
        <v>65004.888199875801</v>
      </c>
      <c r="L33" s="34">
        <f t="shared" si="17"/>
        <v>742117</v>
      </c>
      <c r="M33" s="34">
        <f t="shared" si="17"/>
        <v>8557</v>
      </c>
      <c r="N33" s="34">
        <f t="shared" si="17"/>
        <v>1078446</v>
      </c>
      <c r="O33" s="34">
        <f t="shared" si="17"/>
        <v>19990</v>
      </c>
      <c r="P33" s="34">
        <f t="shared" si="17"/>
        <v>22331.119999999999</v>
      </c>
      <c r="R33" s="34">
        <f>SUM(R19+R32)</f>
        <v>1933891.7152718897</v>
      </c>
      <c r="S33" s="35">
        <f>SUM(S19+S32)</f>
        <v>4019</v>
      </c>
      <c r="T33" s="84"/>
    </row>
    <row r="34" spans="1:20" x14ac:dyDescent="0.25">
      <c r="A34" s="76" t="s">
        <v>96</v>
      </c>
    </row>
    <row r="35" spans="1:20" x14ac:dyDescent="0.25">
      <c r="A35" t="s">
        <v>119</v>
      </c>
    </row>
    <row r="36" spans="1:20" x14ac:dyDescent="0.25">
      <c r="A36" t="s">
        <v>54</v>
      </c>
      <c r="E36" t="s">
        <v>55</v>
      </c>
    </row>
    <row r="37" spans="1:20" x14ac:dyDescent="0.25">
      <c r="A37" t="s">
        <v>98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</vt:lpstr>
      <vt:lpstr>atlidziba_2023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Kalniņa</dc:creator>
  <cp:lastModifiedBy>Santa Eberte</cp:lastModifiedBy>
  <cp:lastPrinted>2023-02-15T10:09:57Z</cp:lastPrinted>
  <dcterms:created xsi:type="dcterms:W3CDTF">2022-08-16T06:12:34Z</dcterms:created>
  <dcterms:modified xsi:type="dcterms:W3CDTF">2023-03-22T08:55:19Z</dcterms:modified>
</cp:coreProperties>
</file>